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Clients\Brightview Preparatory Academy (13-5056)\"/>
    </mc:Choice>
  </mc:AlternateContent>
  <xr:revisionPtr revIDLastSave="0" documentId="13_ncr:1_{BCFDAB5E-4A7C-4AF5-850D-322753964E8F}" xr6:coauthVersionLast="47" xr6:coauthVersionMax="47" xr10:uidLastSave="{00000000-0000-0000-0000-000000000000}"/>
  <bookViews>
    <workbookView xWindow="13245" yWindow="1680" windowWidth="13215" windowHeight="12585" xr2:uid="{00000000-000D-0000-FFFF-FFFF00000000}"/>
  </bookViews>
  <sheets>
    <sheet name="Balance Sheet" sheetId="1" r:id="rId1"/>
    <sheet name="BS" sheetId="3" state="hidden" r:id="rId2"/>
    <sheet name="Stmt of Rev, Exp, and Fund Bal" sheetId="2" r:id="rId3"/>
    <sheet name="Other Assets" sheetId="8" r:id="rId4"/>
    <sheet name="AP Detail" sheetId="7" r:id="rId5"/>
    <sheet name="IS Current" sheetId="4" state="hidden" r:id="rId6"/>
    <sheet name="IS Previous" sheetId="5" state="hidden" r:id="rId7"/>
    <sheet name="Budget" sheetId="6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F17" i="6"/>
  <c r="F7" i="6"/>
  <c r="F4" i="6"/>
  <c r="P49" i="2"/>
  <c r="O49" i="2"/>
  <c r="O48" i="2"/>
  <c r="P48" i="2"/>
  <c r="P25" i="2"/>
  <c r="O25" i="2"/>
  <c r="F16" i="3"/>
  <c r="F19" i="4"/>
  <c r="F4" i="4"/>
  <c r="P43" i="2"/>
  <c r="O43" i="2"/>
  <c r="P18" i="7" l="1"/>
  <c r="P15" i="7"/>
  <c r="P25" i="7" s="1"/>
  <c r="F35" i="3" s="1"/>
  <c r="F29" i="3" l="1"/>
  <c r="F6" i="4" l="1"/>
  <c r="F11" i="4" s="1"/>
  <c r="F12" i="4" s="1"/>
  <c r="F37" i="6" l="1"/>
  <c r="I7" i="5" l="1"/>
  <c r="G28" i="1"/>
  <c r="G30" i="1" s="1"/>
  <c r="F30" i="2"/>
  <c r="E12" i="1"/>
  <c r="E13" i="1"/>
  <c r="F7" i="3"/>
  <c r="E10" i="1" s="1"/>
  <c r="M10" i="1" s="1"/>
  <c r="E41" i="2"/>
  <c r="Y41" i="2" s="1"/>
  <c r="E31" i="2"/>
  <c r="E32" i="2"/>
  <c r="Y32" i="2" s="1"/>
  <c r="T18" i="2"/>
  <c r="Y18" i="2" s="1"/>
  <c r="T24" i="2"/>
  <c r="Y24" i="2" s="1"/>
  <c r="E35" i="2"/>
  <c r="Y35" i="2" s="1"/>
  <c r="E37" i="2"/>
  <c r="Y37" i="2" s="1"/>
  <c r="E38" i="2"/>
  <c r="Y38" i="2" s="1"/>
  <c r="E39" i="2"/>
  <c r="Y39" i="2" s="1"/>
  <c r="E40" i="2"/>
  <c r="Y40" i="2" s="1"/>
  <c r="E17" i="2"/>
  <c r="E19" i="2"/>
  <c r="Y19" i="2" s="1"/>
  <c r="E25" i="2"/>
  <c r="Y25" i="2" s="1"/>
  <c r="J15" i="2"/>
  <c r="Y15" i="2" s="1"/>
  <c r="J31" i="2"/>
  <c r="J36" i="2"/>
  <c r="Y36" i="2" s="1"/>
  <c r="E55" i="2"/>
  <c r="E23" i="1"/>
  <c r="M23" i="1" s="1"/>
  <c r="E24" i="1"/>
  <c r="M24" i="1" s="1"/>
  <c r="B1" i="8"/>
  <c r="G18" i="1"/>
  <c r="G54" i="2"/>
  <c r="I7" i="4"/>
  <c r="G25" i="2"/>
  <c r="E7" i="2"/>
  <c r="L15" i="2"/>
  <c r="L26" i="2" s="1"/>
  <c r="F40" i="3"/>
  <c r="E25" i="1"/>
  <c r="M25" i="1" s="1"/>
  <c r="F6" i="6"/>
  <c r="F11" i="6" s="1"/>
  <c r="F12" i="6" s="1"/>
  <c r="V24" i="2"/>
  <c r="M13" i="1"/>
  <c r="U24" i="2"/>
  <c r="Z24" i="2" s="1"/>
  <c r="M29" i="1"/>
  <c r="M28" i="1"/>
  <c r="M27" i="1"/>
  <c r="M26" i="1"/>
  <c r="M11" i="1"/>
  <c r="E14" i="1"/>
  <c r="E33" i="1" s="1"/>
  <c r="M33" i="1" s="1"/>
  <c r="M14" i="1"/>
  <c r="M16" i="1"/>
  <c r="F35" i="2"/>
  <c r="V18" i="2"/>
  <c r="AA18" i="2" s="1"/>
  <c r="F10" i="3"/>
  <c r="F44" i="3"/>
  <c r="F24" i="3"/>
  <c r="F20" i="3"/>
  <c r="K15" i="2"/>
  <c r="K26" i="2" s="1"/>
  <c r="F41" i="2"/>
  <c r="Z41" i="2" s="1"/>
  <c r="F40" i="2"/>
  <c r="G40" i="2"/>
  <c r="AA40" i="2" s="1"/>
  <c r="F39" i="2"/>
  <c r="Z39" i="2" s="1"/>
  <c r="G39" i="2"/>
  <c r="AA39" i="2" s="1"/>
  <c r="F38" i="2"/>
  <c r="Z38" i="2"/>
  <c r="G38" i="2"/>
  <c r="AA38" i="2" s="1"/>
  <c r="AB38" i="2" s="1"/>
  <c r="F37" i="2"/>
  <c r="Z37" i="2"/>
  <c r="K36" i="2"/>
  <c r="L36" i="2"/>
  <c r="AA36" i="2" s="1"/>
  <c r="G35" i="2"/>
  <c r="U18" i="2"/>
  <c r="Z18" i="2" s="1"/>
  <c r="F32" i="2"/>
  <c r="Z32" i="2" s="1"/>
  <c r="F31" i="2"/>
  <c r="G31" i="2"/>
  <c r="F25" i="2"/>
  <c r="Z25" i="2" s="1"/>
  <c r="F19" i="2"/>
  <c r="G19" i="2"/>
  <c r="F17" i="2"/>
  <c r="Z17" i="2" s="1"/>
  <c r="G49" i="2"/>
  <c r="AA49" i="2" s="1"/>
  <c r="L42" i="2"/>
  <c r="AA42" i="2" s="1"/>
  <c r="AB42" i="2" s="1"/>
  <c r="L31" i="2"/>
  <c r="AA31" i="2" s="1"/>
  <c r="G33" i="2"/>
  <c r="AA33" i="2" s="1"/>
  <c r="G41" i="2"/>
  <c r="G37" i="2"/>
  <c r="H37" i="2" s="1"/>
  <c r="G32" i="2"/>
  <c r="AA32" i="2"/>
  <c r="G17" i="2"/>
  <c r="F27" i="6"/>
  <c r="F28" i="6" s="1"/>
  <c r="G53" i="2"/>
  <c r="AA53" i="2" s="1"/>
  <c r="V50" i="2"/>
  <c r="Q50" i="2"/>
  <c r="W54" i="2"/>
  <c r="W53" i="2"/>
  <c r="W49" i="2"/>
  <c r="W43" i="2"/>
  <c r="W42" i="2"/>
  <c r="W41" i="2"/>
  <c r="W40" i="2"/>
  <c r="W39" i="2"/>
  <c r="W38" i="2"/>
  <c r="W37" i="2"/>
  <c r="W36" i="2"/>
  <c r="W35" i="2"/>
  <c r="W33" i="2"/>
  <c r="W32" i="2"/>
  <c r="W31" i="2"/>
  <c r="W30" i="2"/>
  <c r="W25" i="2"/>
  <c r="W24" i="2"/>
  <c r="W23" i="2"/>
  <c r="W21" i="2"/>
  <c r="W20" i="2"/>
  <c r="W19" i="2"/>
  <c r="W17" i="2"/>
  <c r="W15" i="2"/>
  <c r="W14" i="2"/>
  <c r="M54" i="2"/>
  <c r="M53" i="2"/>
  <c r="M43" i="2"/>
  <c r="M41" i="2"/>
  <c r="M40" i="2"/>
  <c r="M39" i="2"/>
  <c r="M38" i="2"/>
  <c r="M37" i="2"/>
  <c r="M35" i="2"/>
  <c r="M34" i="2"/>
  <c r="M33" i="2"/>
  <c r="M32" i="2"/>
  <c r="M25" i="2"/>
  <c r="M24" i="2"/>
  <c r="M23" i="2"/>
  <c r="M21" i="2"/>
  <c r="M20" i="2"/>
  <c r="M19" i="2"/>
  <c r="M18" i="2"/>
  <c r="M17" i="2"/>
  <c r="M14" i="2"/>
  <c r="H54" i="2"/>
  <c r="H43" i="2"/>
  <c r="H42" i="2"/>
  <c r="H36" i="2"/>
  <c r="H24" i="2"/>
  <c r="H23" i="2"/>
  <c r="H21" i="2"/>
  <c r="H20" i="2"/>
  <c r="H18" i="2"/>
  <c r="H15" i="2"/>
  <c r="H14" i="2"/>
  <c r="AA54" i="2"/>
  <c r="AB54" i="2" s="1"/>
  <c r="Z54" i="2"/>
  <c r="Y54" i="2"/>
  <c r="Z53" i="2"/>
  <c r="Y53" i="2"/>
  <c r="Y55" i="2" s="1"/>
  <c r="Z43" i="2"/>
  <c r="Y43" i="2"/>
  <c r="Z42" i="2"/>
  <c r="Y42" i="2"/>
  <c r="AA41" i="2"/>
  <c r="AA35" i="2"/>
  <c r="AA25" i="2"/>
  <c r="AA24" i="2"/>
  <c r="AB24" i="2" s="1"/>
  <c r="AA23" i="2"/>
  <c r="AB23" i="2"/>
  <c r="Z23" i="2"/>
  <c r="Y23" i="2"/>
  <c r="AA21" i="2"/>
  <c r="AB21" i="2" s="1"/>
  <c r="Z21" i="2"/>
  <c r="Y21" i="2"/>
  <c r="AA20" i="2"/>
  <c r="AB20" i="2" s="1"/>
  <c r="Z20" i="2"/>
  <c r="Y20" i="2"/>
  <c r="AA14" i="2"/>
  <c r="AB14" i="2"/>
  <c r="Z14" i="2"/>
  <c r="Y14" i="2"/>
  <c r="V55" i="2"/>
  <c r="W55" i="2"/>
  <c r="U55" i="2"/>
  <c r="T55" i="2"/>
  <c r="T57" i="2"/>
  <c r="Q55" i="2"/>
  <c r="Q57" i="2" s="1"/>
  <c r="R57" i="2" s="1"/>
  <c r="R55" i="2"/>
  <c r="P55" i="2"/>
  <c r="P57" i="2" s="1"/>
  <c r="O55" i="2"/>
  <c r="O57" i="2" s="1"/>
  <c r="L55" i="2"/>
  <c r="M55" i="2"/>
  <c r="K55" i="2"/>
  <c r="J55" i="2"/>
  <c r="F55" i="2"/>
  <c r="R52" i="2"/>
  <c r="P44" i="2"/>
  <c r="O44" i="2"/>
  <c r="Q26" i="2"/>
  <c r="R26" i="2"/>
  <c r="P26" i="2"/>
  <c r="O26" i="2"/>
  <c r="K18" i="1"/>
  <c r="I18" i="1"/>
  <c r="K30" i="1"/>
  <c r="I30" i="1"/>
  <c r="K39" i="1"/>
  <c r="I39" i="1"/>
  <c r="I40" i="1" s="1"/>
  <c r="G39" i="1"/>
  <c r="M36" i="1"/>
  <c r="M35" i="1"/>
  <c r="M34" i="1"/>
  <c r="O45" i="2"/>
  <c r="O50" i="2" s="1"/>
  <c r="K40" i="1"/>
  <c r="L50" i="2"/>
  <c r="M49" i="2"/>
  <c r="AA48" i="2"/>
  <c r="H48" i="2"/>
  <c r="AA37" i="2"/>
  <c r="AB37" i="2" s="1"/>
  <c r="W48" i="2"/>
  <c r="W50" i="2"/>
  <c r="K31" i="2"/>
  <c r="H49" i="2"/>
  <c r="AB48" i="2"/>
  <c r="M50" i="2"/>
  <c r="M48" i="2"/>
  <c r="F36" i="3"/>
  <c r="M36" i="2" l="1"/>
  <c r="H40" i="2"/>
  <c r="H35" i="2"/>
  <c r="H31" i="2"/>
  <c r="P45" i="2"/>
  <c r="P50" i="2" s="1"/>
  <c r="AB49" i="2"/>
  <c r="AA50" i="2"/>
  <c r="AB50" i="2" s="1"/>
  <c r="Z55" i="2"/>
  <c r="G50" i="2"/>
  <c r="H50" i="2" s="1"/>
  <c r="M31" i="2"/>
  <c r="M42" i="2"/>
  <c r="G40" i="1"/>
  <c r="AB41" i="2"/>
  <c r="Z35" i="2"/>
  <c r="AB35" i="2" s="1"/>
  <c r="J26" i="2"/>
  <c r="H17" i="2"/>
  <c r="G55" i="2"/>
  <c r="H55" i="2" s="1"/>
  <c r="F25" i="3"/>
  <c r="H41" i="2"/>
  <c r="H39" i="2"/>
  <c r="Z36" i="2"/>
  <c r="AB36" i="2" s="1"/>
  <c r="Z31" i="2"/>
  <c r="AB31" i="2" s="1"/>
  <c r="Y31" i="2"/>
  <c r="F26" i="2"/>
  <c r="F41" i="3"/>
  <c r="F45" i="3" s="1"/>
  <c r="E30" i="1"/>
  <c r="AB18" i="2"/>
  <c r="U26" i="2"/>
  <c r="AB53" i="2"/>
  <c r="E15" i="1"/>
  <c r="M15" i="1" s="1"/>
  <c r="M30" i="1"/>
  <c r="K30" i="2"/>
  <c r="Z30" i="2" s="1"/>
  <c r="J30" i="2"/>
  <c r="J44" i="2" s="1"/>
  <c r="H53" i="2"/>
  <c r="F11" i="3"/>
  <c r="E18" i="1"/>
  <c r="Z19" i="2"/>
  <c r="T26" i="2"/>
  <c r="T34" i="2" s="1"/>
  <c r="H25" i="2"/>
  <c r="Z40" i="2"/>
  <c r="AB40" i="2" s="1"/>
  <c r="K44" i="2"/>
  <c r="K45" i="2" s="1"/>
  <c r="K48" i="2" s="1"/>
  <c r="H32" i="2"/>
  <c r="AB39" i="2"/>
  <c r="AB25" i="2"/>
  <c r="AB32" i="2"/>
  <c r="E26" i="2"/>
  <c r="Y17" i="2"/>
  <c r="Y26" i="2" s="1"/>
  <c r="H38" i="2"/>
  <c r="F29" i="6"/>
  <c r="F39" i="6" s="1"/>
  <c r="G26" i="2"/>
  <c r="L30" i="2"/>
  <c r="AA15" i="2"/>
  <c r="W18" i="2"/>
  <c r="V26" i="2"/>
  <c r="H19" i="2"/>
  <c r="AA19" i="2"/>
  <c r="AA17" i="2"/>
  <c r="AA55" i="2"/>
  <c r="M15" i="2"/>
  <c r="Z15" i="2"/>
  <c r="M12" i="1"/>
  <c r="M18" i="1" s="1"/>
  <c r="M26" i="2"/>
  <c r="E30" i="2"/>
  <c r="J45" i="2" l="1"/>
  <c r="J48" i="2" s="1"/>
  <c r="H26" i="2"/>
  <c r="AB19" i="2"/>
  <c r="F30" i="3"/>
  <c r="T44" i="2"/>
  <c r="T45" i="2" s="1"/>
  <c r="E34" i="2"/>
  <c r="Y34" i="2" s="1"/>
  <c r="M30" i="2"/>
  <c r="L44" i="2"/>
  <c r="W26" i="2"/>
  <c r="V34" i="2"/>
  <c r="Q43" i="2" s="1"/>
  <c r="AA26" i="2"/>
  <c r="AB17" i="2"/>
  <c r="AB55" i="2"/>
  <c r="Z26" i="2"/>
  <c r="AB15" i="2"/>
  <c r="Y30" i="2"/>
  <c r="AA43" i="2" l="1"/>
  <c r="AB43" i="2" s="1"/>
  <c r="Q44" i="2"/>
  <c r="K50" i="2"/>
  <c r="K52" i="2" s="1"/>
  <c r="K57" i="2" s="1"/>
  <c r="T49" i="2"/>
  <c r="E48" i="2" s="1"/>
  <c r="T48" i="2"/>
  <c r="E49" i="2" s="1"/>
  <c r="J50" i="2"/>
  <c r="J52" i="2" s="1"/>
  <c r="J57" i="2" s="1"/>
  <c r="G30" i="2"/>
  <c r="L45" i="2"/>
  <c r="M44" i="2"/>
  <c r="AB26" i="2"/>
  <c r="U34" i="2"/>
  <c r="W34" i="2" s="1"/>
  <c r="V44" i="2"/>
  <c r="R44" i="2" l="1"/>
  <c r="Q45" i="2"/>
  <c r="R45" i="2" s="1"/>
  <c r="E50" i="2"/>
  <c r="Y48" i="2"/>
  <c r="Y49" i="2"/>
  <c r="T50" i="2"/>
  <c r="M45" i="2"/>
  <c r="L52" i="2"/>
  <c r="AA30" i="2"/>
  <c r="AB30" i="2" s="1"/>
  <c r="H30" i="2"/>
  <c r="V45" i="2"/>
  <c r="AA34" i="2"/>
  <c r="G44" i="2"/>
  <c r="F34" i="2"/>
  <c r="U44" i="2"/>
  <c r="U45" i="2" s="1"/>
  <c r="Y50" i="2" l="1"/>
  <c r="L57" i="2"/>
  <c r="M57" i="2" s="1"/>
  <c r="M52" i="2"/>
  <c r="Z34" i="2"/>
  <c r="U49" i="2"/>
  <c r="F48" i="2" s="1"/>
  <c r="U48" i="2"/>
  <c r="G45" i="2"/>
  <c r="AA44" i="2"/>
  <c r="H34" i="2"/>
  <c r="V52" i="2"/>
  <c r="W45" i="2"/>
  <c r="W44" i="2"/>
  <c r="AB34" i="2" l="1"/>
  <c r="G52" i="2"/>
  <c r="U50" i="2"/>
  <c r="U52" i="2" s="1"/>
  <c r="U57" i="2" s="1"/>
  <c r="F49" i="2"/>
  <c r="Z49" i="2" s="1"/>
  <c r="V57" i="2"/>
  <c r="W57" i="2" s="1"/>
  <c r="W52" i="2"/>
  <c r="Z48" i="2"/>
  <c r="AA45" i="2"/>
  <c r="F50" i="2" l="1"/>
  <c r="Z50" i="2"/>
  <c r="AA52" i="2"/>
  <c r="G57" i="2"/>
  <c r="AA57" i="2" l="1"/>
  <c r="F32" i="4"/>
  <c r="F33" i="4" s="1"/>
  <c r="F34" i="4" s="1"/>
  <c r="E33" i="2"/>
  <c r="Y33" i="2" s="1"/>
  <c r="Y44" i="2" s="1"/>
  <c r="Y45" i="2" s="1"/>
  <c r="F33" i="2"/>
  <c r="H33" i="2" s="1"/>
  <c r="F44" i="2" l="1"/>
  <c r="H44" i="2" s="1"/>
  <c r="E44" i="2"/>
  <c r="E45" i="2" s="1"/>
  <c r="E52" i="2" s="1"/>
  <c r="Y52" i="2" s="1"/>
  <c r="Y57" i="2" s="1"/>
  <c r="Z33" i="2"/>
  <c r="F45" i="2" l="1"/>
  <c r="F52" i="2" s="1"/>
  <c r="Z52" i="2" s="1"/>
  <c r="AB52" i="2" s="1"/>
  <c r="E57" i="2"/>
  <c r="E37" i="1" s="1"/>
  <c r="M37" i="1" s="1"/>
  <c r="M39" i="1" s="1"/>
  <c r="M40" i="1" s="1"/>
  <c r="AB33" i="2"/>
  <c r="Z44" i="2"/>
  <c r="H45" i="2" l="1"/>
  <c r="F57" i="2"/>
  <c r="H57" i="2" s="1"/>
  <c r="H52" i="2"/>
  <c r="Z57" i="2"/>
  <c r="AB57" i="2" s="1"/>
  <c r="F49" i="3"/>
  <c r="F50" i="3" s="1"/>
  <c r="G50" i="3" s="1"/>
  <c r="E39" i="1"/>
  <c r="E40" i="1" s="1"/>
  <c r="G38" i="3" s="1"/>
  <c r="AB44" i="2"/>
  <c r="Z45" i="2"/>
  <c r="AB45" i="2" s="1"/>
  <c r="F51" i="3" l="1"/>
  <c r="G15" i="4"/>
  <c r="G15" i="5"/>
</calcChain>
</file>

<file path=xl/sharedStrings.xml><?xml version="1.0" encoding="utf-8"?>
<sst xmlns="http://schemas.openxmlformats.org/spreadsheetml/2006/main" count="324" uniqueCount="203">
  <si>
    <t>Alpha Charter of Excellence with MSID Number 5410</t>
  </si>
  <si>
    <t>Miami Dade County, Florida</t>
  </si>
  <si>
    <t>Balance Sheet (Unaudited)</t>
  </si>
  <si>
    <t>Accounts</t>
  </si>
  <si>
    <t>General Fund</t>
  </si>
  <si>
    <t>Special Revenue Fund</t>
  </si>
  <si>
    <t>Debt Service</t>
  </si>
  <si>
    <t>Capital Outlay</t>
  </si>
  <si>
    <t>Total Governmental Funds</t>
  </si>
  <si>
    <t>ASSETS</t>
  </si>
  <si>
    <t>Cash and cash equivalents</t>
  </si>
  <si>
    <t>Investments</t>
  </si>
  <si>
    <t>Grant receivables</t>
  </si>
  <si>
    <t>Other current assets</t>
  </si>
  <si>
    <t>12XX</t>
  </si>
  <si>
    <t>Deposits</t>
  </si>
  <si>
    <t>Due from other funds</t>
  </si>
  <si>
    <t>Other long-term assets</t>
  </si>
  <si>
    <t>Total Assets</t>
  </si>
  <si>
    <t>LIABILITIES AND FUND BALANCE</t>
  </si>
  <si>
    <t>Liabilities</t>
  </si>
  <si>
    <t>Accounts payable</t>
  </si>
  <si>
    <t>Salaries, benefits, and payroll taxes payable</t>
  </si>
  <si>
    <t>2110, 2170, 2330</t>
  </si>
  <si>
    <t>Deferred revenue</t>
  </si>
  <si>
    <t>Notes/bonds payable</t>
  </si>
  <si>
    <t>2180, 2250, 2310, 2320</t>
  </si>
  <si>
    <t>Lease payable</t>
  </si>
  <si>
    <t>Other liabilities</t>
  </si>
  <si>
    <t>21XX, 22XX, 23XX</t>
  </si>
  <si>
    <t>Total Liabilities</t>
  </si>
  <si>
    <t>Fund Balance</t>
  </si>
  <si>
    <t>Nonspendable</t>
  </si>
  <si>
    <t>Restricted</t>
  </si>
  <si>
    <t>Committed</t>
  </si>
  <si>
    <t>Assigned</t>
  </si>
  <si>
    <t>Unassigned</t>
  </si>
  <si>
    <t>Total Fund Balance</t>
  </si>
  <si>
    <t>TOTAL LIABILITIES AND FUND BALANCE</t>
  </si>
  <si>
    <t>Statement of Revenue, Expenditures, and Changes in Fund Balance (Unaudited)</t>
  </si>
  <si>
    <t>FTE Projected</t>
  </si>
  <si>
    <t>FTE Actual</t>
  </si>
  <si>
    <t>Percent of Projected</t>
  </si>
  <si>
    <t>Special Revenue</t>
  </si>
  <si>
    <t>Account Number</t>
  </si>
  <si>
    <t>Month/ Quarter Actual</t>
  </si>
  <si>
    <t>YTD Actual</t>
  </si>
  <si>
    <t>Annual Budget</t>
  </si>
  <si>
    <t>% of YTD
Actual to
Annual Budget</t>
  </si>
  <si>
    <t>Revenues</t>
  </si>
  <si>
    <t xml:space="preserve">FEDERAL SOURCES </t>
  </si>
  <si>
    <t xml:space="preserve">    Federal direct</t>
  </si>
  <si>
    <t>%</t>
  </si>
  <si>
    <t xml:space="preserve">    Federal through state and local</t>
  </si>
  <si>
    <t/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</si>
  <si>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</si>
  <si>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</si>
  <si>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</si>
  <si>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</si>
  <si>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</si>
  <si>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</si>
  <si>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</si>
  <si>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</si>
  <si>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</si>
  <si>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</si>
  <si>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</si>
  <si>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</si>
  <si>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Total Revenues</t>
  </si>
  <si>
    <t>Expenditures</t>
  </si>
  <si>
    <t>Current Expenditures</t>
  </si>
  <si>
    <t>Instruction</t>
  </si>
  <si>
    <t>Instructional support services</t>
  </si>
  <si>
    <t>Board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</si>
  <si>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</si>
  <si>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</si>
  <si>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</si>
  <si>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</si>
  <si>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</si>
  <si>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</si>
  <si>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</si>
  <si>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</si>
  <si>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</si>
  <si>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Community services</t>
  </si>
  <si>
    <t>Debt service</t>
  </si>
  <si>
    <t>Total Expenditures</t>
  </si>
  <si>
    <t>Excess (Deficiency) of Revenues Over Expenditures</t>
  </si>
  <si>
    <t>Other Financing Sources (Uses)</t>
  </si>
  <si>
    <t>Transfers in</t>
  </si>
  <si>
    <t>Transfers out</t>
  </si>
  <si>
    <t>Total Other Financing Sources (Uses)</t>
  </si>
  <si>
    <t>Net Change in Fund Balances</t>
  </si>
  <si>
    <t>Fund balances, beginning</t>
  </si>
  <si>
    <t>Adjustments to beginning fund balance</t>
  </si>
  <si>
    <t>Fund Balances, Beginning as Restated</t>
  </si>
  <si>
    <t>Fund Balances, Ending</t>
  </si>
  <si>
    <t>Income</t>
  </si>
  <si>
    <t>110-R · General Operating</t>
  </si>
  <si>
    <t>3310001 · Base Student Allocation</t>
  </si>
  <si>
    <t>Total 110-R · General Operating</t>
  </si>
  <si>
    <t>Total Income</t>
  </si>
  <si>
    <t>Gross Profit</t>
  </si>
  <si>
    <t>Expense</t>
  </si>
  <si>
    <t>110-E · Expenditures</t>
  </si>
  <si>
    <t>5100000 · Instruction</t>
  </si>
  <si>
    <t>6300000 · Instruction &amp; Curriculum Develo</t>
  </si>
  <si>
    <t>7100000 · Board Expenses</t>
  </si>
  <si>
    <t>7300000 · School Administration</t>
  </si>
  <si>
    <t>7400000 · Facility and Acquisition</t>
  </si>
  <si>
    <t>7500000 · Fiscal Services</t>
  </si>
  <si>
    <t>7900000 · Operations of the Plant</t>
  </si>
  <si>
    <t>8100000 · Maintenance of Plant</t>
  </si>
  <si>
    <t>8200000 · Technology Services</t>
  </si>
  <si>
    <t>Total 110-E · Expenditures</t>
  </si>
  <si>
    <t>Total Expense</t>
  </si>
  <si>
    <t>Net Income</t>
  </si>
  <si>
    <t>Jul 17</t>
  </si>
  <si>
    <t>Class Size Reduction</t>
  </si>
  <si>
    <t>Internal</t>
  </si>
  <si>
    <t>5200000 · ESE</t>
  </si>
  <si>
    <t>7700</t>
  </si>
  <si>
    <t>7800</t>
  </si>
  <si>
    <t>Special</t>
  </si>
  <si>
    <t>7600</t>
  </si>
  <si>
    <t>Jul 31, 17</t>
  </si>
  <si>
    <t>Current Assets</t>
  </si>
  <si>
    <t>Checking/Savings</t>
  </si>
  <si>
    <t>1110 · Bank 898052308111</t>
  </si>
  <si>
    <t>1111 · Petty Cash</t>
  </si>
  <si>
    <t>Total Checking/Savings</t>
  </si>
  <si>
    <t>Other Current Assets</t>
  </si>
  <si>
    <t>1226007 · Income Receivable</t>
  </si>
  <si>
    <t>Total Other Current Assets</t>
  </si>
  <si>
    <t>Total Current Assets</t>
  </si>
  <si>
    <t>Fixed Assets</t>
  </si>
  <si>
    <t>1300000 · Improvements to Property</t>
  </si>
  <si>
    <t>1300130 · Accumulated Deprection</t>
  </si>
  <si>
    <t>1300000 · Improvements to Property - Other</t>
  </si>
  <si>
    <t>Total 1300000 · Improvements to Property</t>
  </si>
  <si>
    <t>1400000 · Building and Fixed Equipment</t>
  </si>
  <si>
    <t>1400160 · Accumulated Depreciation Buildi</t>
  </si>
  <si>
    <t>1400000 · Building and Fixed Equipment - Other</t>
  </si>
  <si>
    <t>Total 1400000 · Building and Fixed Equipment</t>
  </si>
  <si>
    <t>1500000 · Furniture and Equipment</t>
  </si>
  <si>
    <t>1500015 · Accumulated Depreciation</t>
  </si>
  <si>
    <t>1500000 · Furniture and Equipment - Other</t>
  </si>
  <si>
    <t>Total 1500000 · Furniture and Equipment</t>
  </si>
  <si>
    <t>Total Fixed Assets</t>
  </si>
  <si>
    <t>Other Assets</t>
  </si>
  <si>
    <t>1800000 · Security Deposit</t>
  </si>
  <si>
    <t>Total Other Assets</t>
  </si>
  <si>
    <t>TOTAL ASSETS</t>
  </si>
  <si>
    <t>LIABILITIES &amp; EQUITY</t>
  </si>
  <si>
    <t>Current Liabilities</t>
  </si>
  <si>
    <t>Accounts Payable</t>
  </si>
  <si>
    <t>20000 · Accounts Payable</t>
  </si>
  <si>
    <t>Total Accounts Payable</t>
  </si>
  <si>
    <t>Other Current Liabilities</t>
  </si>
  <si>
    <t>2300000 · Accrued Payroll</t>
  </si>
  <si>
    <t>Total Other Current Liabilities</t>
  </si>
  <si>
    <t>Total Current Liabilities</t>
  </si>
  <si>
    <t>Long Term Liabilities</t>
  </si>
  <si>
    <t>Total Long Term Liabilities</t>
  </si>
  <si>
    <t>Equity</t>
  </si>
  <si>
    <t>31300 · Perm. Restricted Net Assets</t>
  </si>
  <si>
    <t>32000 · Unrestricted Net Assets</t>
  </si>
  <si>
    <t>Total Equity</t>
  </si>
  <si>
    <t>TOTAL LIABILITIES &amp; EQUITY</t>
  </si>
  <si>
    <t>Plus Computer Less Depre</t>
  </si>
  <si>
    <t>Improve less deprec</t>
  </si>
  <si>
    <t>Title One</t>
  </si>
  <si>
    <t>Title One 5100T</t>
  </si>
  <si>
    <t>6100T</t>
  </si>
  <si>
    <t>Sub FFE Admin and Deprec</t>
  </si>
  <si>
    <t>LCIR</t>
  </si>
  <si>
    <t>Type</t>
  </si>
  <si>
    <t>Date</t>
  </si>
  <si>
    <t>Num</t>
  </si>
  <si>
    <t>Name</t>
  </si>
  <si>
    <t>Due Date</t>
  </si>
  <si>
    <t>Aging</t>
  </si>
  <si>
    <t>Open Balance</t>
  </si>
  <si>
    <t>Current</t>
  </si>
  <si>
    <t>Total Current</t>
  </si>
  <si>
    <t>&gt; 90</t>
  </si>
  <si>
    <t>Total &gt; 90</t>
  </si>
  <si>
    <t>TOTAL</t>
  </si>
  <si>
    <t>Prepaid</t>
  </si>
  <si>
    <t>1 - 30</t>
  </si>
  <si>
    <t>Total 1 - 30</t>
  </si>
  <si>
    <t>31 - 60</t>
  </si>
  <si>
    <t>Total 31 - 60</t>
  </si>
  <si>
    <t>61 - 90</t>
  </si>
  <si>
    <t>Total 61 - 90</t>
  </si>
  <si>
    <t>Deferred</t>
  </si>
  <si>
    <t>Title IV</t>
  </si>
  <si>
    <t>The school has already started paying the increased teacher salaries and waiting for the FEFP to increase to include the payraise</t>
  </si>
  <si>
    <t>Prepaid Rent</t>
  </si>
  <si>
    <t>For Month or Quarter Ended and For the Year Ending July 31, 2022</t>
  </si>
  <si>
    <t>9200</t>
  </si>
  <si>
    <t>Brightview Preparatory Academy with MSID Number 5056</t>
  </si>
  <si>
    <t>Loan</t>
  </si>
  <si>
    <t>Prev Yr</t>
  </si>
  <si>
    <t>Prev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</si>
</sst>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.00000000000"/>
    <numFmt numFmtId="166" formatCode="mm/dd/yyyy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right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4" applyFont="1" applyAlignment="1" applyProtection="1">
      <alignment horizontal="center"/>
      <protection locked="0"/>
    </xf>
    <xf numFmtId="0" fontId="3" fillId="0" borderId="0" xfId="4" applyFont="1" applyProtection="1">
      <protection locked="0"/>
    </xf>
    <xf numFmtId="0" fontId="5" fillId="0" borderId="1" xfId="0" applyFont="1" applyBorder="1"/>
    <xf numFmtId="0" fontId="5" fillId="0" borderId="3" xfId="0" applyFont="1" applyBorder="1"/>
    <xf numFmtId="9" fontId="5" fillId="0" borderId="0" xfId="3" applyFont="1" applyAlignment="1">
      <alignment horizontal="right"/>
    </xf>
    <xf numFmtId="0" fontId="3" fillId="0" borderId="0" xfId="4" applyFont="1" applyAlignment="1" applyProtection="1">
      <alignment horizontal="left"/>
      <protection locked="0"/>
    </xf>
    <xf numFmtId="0" fontId="5" fillId="0" borderId="0" xfId="0" applyFont="1" applyAlignment="1">
      <alignment wrapText="1"/>
    </xf>
    <xf numFmtId="0" fontId="3" fillId="0" borderId="1" xfId="4" applyFont="1" applyBorder="1" applyAlignment="1" applyProtection="1">
      <alignment horizontal="center" wrapText="1"/>
      <protection locked="0"/>
    </xf>
    <xf numFmtId="0" fontId="3" fillId="0" borderId="3" xfId="4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8" fillId="0" borderId="0" xfId="4" applyFont="1" applyProtection="1">
      <protection locked="0"/>
    </xf>
    <xf numFmtId="0" fontId="8" fillId="0" borderId="0" xfId="4" applyFont="1" applyAlignment="1" applyProtection="1">
      <alignment horizontal="center"/>
      <protection locked="0"/>
    </xf>
    <xf numFmtId="44" fontId="5" fillId="0" borderId="0" xfId="2" applyFont="1" applyAlignment="1">
      <alignment horizontal="right"/>
    </xf>
    <xf numFmtId="0" fontId="8" fillId="0" borderId="0" xfId="4" applyFont="1" applyAlignment="1" applyProtection="1">
      <alignment horizontal="center" wrapText="1"/>
      <protection locked="0"/>
    </xf>
    <xf numFmtId="9" fontId="5" fillId="0" borderId="3" xfId="3" applyFont="1" applyBorder="1" applyAlignment="1">
      <alignment horizontal="right"/>
    </xf>
    <xf numFmtId="0" fontId="8" fillId="0" borderId="0" xfId="4" applyFont="1" applyAlignment="1" applyProtection="1">
      <alignment horizontal="left"/>
      <protection locked="0"/>
    </xf>
    <xf numFmtId="9" fontId="5" fillId="0" borderId="6" xfId="3" applyFont="1" applyBorder="1" applyAlignment="1">
      <alignment horizontal="right"/>
    </xf>
    <xf numFmtId="39" fontId="5" fillId="0" borderId="3" xfId="1" applyNumberFormat="1" applyFont="1" applyBorder="1" applyAlignment="1">
      <alignment horizontal="right"/>
    </xf>
    <xf numFmtId="39" fontId="5" fillId="0" borderId="0" xfId="1" applyNumberFormat="1" applyFont="1" applyAlignment="1">
      <alignment horizontal="right"/>
    </xf>
    <xf numFmtId="39" fontId="0" fillId="0" borderId="0" xfId="0" applyNumberFormat="1"/>
    <xf numFmtId="49" fontId="9" fillId="0" borderId="0" xfId="0" applyNumberFormat="1" applyFont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9" fillId="0" borderId="0" xfId="0" applyNumberFormat="1" applyFont="1"/>
    <xf numFmtId="164" fontId="10" fillId="0" borderId="0" xfId="0" applyNumberFormat="1" applyFont="1"/>
    <xf numFmtId="164" fontId="10" fillId="0" borderId="8" xfId="0" applyNumberFormat="1" applyFont="1" applyBorder="1"/>
    <xf numFmtId="164" fontId="10" fillId="0" borderId="9" xfId="0" applyNumberFormat="1" applyFont="1" applyBorder="1"/>
    <xf numFmtId="164" fontId="10" fillId="0" borderId="10" xfId="0" applyNumberFormat="1" applyFont="1" applyBorder="1"/>
    <xf numFmtId="164" fontId="9" fillId="0" borderId="11" xfId="0" applyNumberFormat="1" applyFont="1" applyBorder="1"/>
    <xf numFmtId="0" fontId="9" fillId="0" borderId="0" xfId="0" applyFont="1"/>
    <xf numFmtId="37" fontId="5" fillId="0" borderId="0" xfId="0" applyNumberFormat="1" applyFont="1" applyAlignment="1">
      <alignment horizontal="right"/>
    </xf>
    <xf numFmtId="37" fontId="5" fillId="0" borderId="3" xfId="1" applyNumberFormat="1" applyFont="1" applyBorder="1" applyAlignment="1">
      <alignment horizontal="right"/>
    </xf>
    <xf numFmtId="37" fontId="5" fillId="0" borderId="1" xfId="1" applyNumberFormat="1" applyFont="1" applyBorder="1" applyAlignment="1">
      <alignment horizontal="right"/>
    </xf>
    <xf numFmtId="37" fontId="5" fillId="0" borderId="0" xfId="1" applyNumberFormat="1" applyFont="1" applyAlignment="1">
      <alignment horizontal="right"/>
    </xf>
    <xf numFmtId="42" fontId="5" fillId="0" borderId="6" xfId="2" applyNumberFormat="1" applyFont="1" applyBorder="1" applyAlignment="1">
      <alignment horizontal="right"/>
    </xf>
    <xf numFmtId="41" fontId="5" fillId="0" borderId="0" xfId="1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3" xfId="1" applyNumberFormat="1" applyFont="1" applyBorder="1" applyAlignment="1">
      <alignment horizontal="right"/>
    </xf>
    <xf numFmtId="42" fontId="5" fillId="0" borderId="0" xfId="2" applyNumberFormat="1" applyFont="1" applyAlignment="1">
      <alignment horizontal="right"/>
    </xf>
    <xf numFmtId="41" fontId="5" fillId="0" borderId="0" xfId="1" applyNumberFormat="1" applyFont="1" applyFill="1" applyAlignment="1">
      <alignment horizontal="right"/>
    </xf>
    <xf numFmtId="42" fontId="5" fillId="0" borderId="2" xfId="0" applyNumberFormat="1" applyFont="1" applyBorder="1" applyAlignment="1">
      <alignment horizontal="right"/>
    </xf>
    <xf numFmtId="42" fontId="5" fillId="0" borderId="2" xfId="2" applyNumberFormat="1" applyFont="1" applyBorder="1" applyAlignment="1">
      <alignment horizontal="right"/>
    </xf>
    <xf numFmtId="42" fontId="0" fillId="0" borderId="0" xfId="0" applyNumberFormat="1"/>
    <xf numFmtId="41" fontId="5" fillId="0" borderId="0" xfId="2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166" fontId="9" fillId="0" borderId="0" xfId="0" applyNumberFormat="1" applyFont="1"/>
    <xf numFmtId="164" fontId="9" fillId="0" borderId="0" xfId="0" applyNumberFormat="1" applyFont="1"/>
    <xf numFmtId="49" fontId="10" fillId="0" borderId="0" xfId="0" applyNumberFormat="1" applyFont="1"/>
    <xf numFmtId="166" fontId="10" fillId="0" borderId="0" xfId="0" applyNumberFormat="1" applyFont="1"/>
    <xf numFmtId="4" fontId="0" fillId="0" borderId="0" xfId="0" applyNumberFormat="1"/>
    <xf numFmtId="167" fontId="0" fillId="0" borderId="0" xfId="0" applyNumberFormat="1"/>
    <xf numFmtId="49" fontId="0" fillId="0" borderId="0" xfId="0" applyNumberFormat="1"/>
    <xf numFmtId="0" fontId="3" fillId="0" borderId="0" xfId="4" applyFont="1" applyAlignment="1" applyProtection="1">
      <alignment horizontal="center"/>
      <protection locked="0"/>
    </xf>
    <xf numFmtId="15" fontId="4" fillId="0" borderId="0" xfId="4" quotePrefix="1" applyNumberFormat="1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center"/>
      <protection locked="0"/>
    </xf>
    <xf numFmtId="0" fontId="3" fillId="0" borderId="4" xfId="4" applyFont="1" applyBorder="1" applyAlignment="1" applyProtection="1">
      <alignment horizontal="center"/>
      <protection locked="0"/>
    </xf>
    <xf numFmtId="0" fontId="3" fillId="0" borderId="3" xfId="4" applyFont="1" applyBorder="1" applyAlignment="1" applyProtection="1">
      <alignment horizontal="center"/>
      <protection locked="0"/>
    </xf>
    <xf numFmtId="0" fontId="3" fillId="0" borderId="5" xfId="4" applyFont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13" zoomScale="70" zoomScaleNormal="70" workbookViewId="0">
      <selection sqref="A1:M1"/>
    </sheetView>
  </sheetViews>
  <sheetFormatPr defaultRowHeight="15" x14ac:dyDescent="0.25"/>
  <cols>
    <col min="1" max="1" width="2.28515625" customWidth="1"/>
    <col min="2" max="2" width="47.28515625" customWidth="1"/>
    <col min="3" max="3" width="25.85546875" bestFit="1" customWidth="1"/>
    <col min="4" max="4" width="2.140625" customWidth="1"/>
    <col min="5" max="5" width="16.42578125" customWidth="1"/>
    <col min="6" max="6" width="2.140625" customWidth="1"/>
    <col min="7" max="7" width="16.42578125" customWidth="1"/>
    <col min="8" max="8" width="1.85546875" customWidth="1"/>
    <col min="9" max="9" width="16.42578125" customWidth="1"/>
    <col min="10" max="10" width="1.7109375" customWidth="1"/>
    <col min="11" max="11" width="16.42578125" customWidth="1"/>
    <col min="12" max="12" width="2.140625" customWidth="1"/>
    <col min="13" max="13" width="16.42578125" customWidth="1"/>
  </cols>
  <sheetData>
    <row r="1" spans="1:13" ht="15.75" x14ac:dyDescent="0.25">
      <c r="A1" s="66" t="s">
        <v>199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.7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.75" x14ac:dyDescent="0.2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x14ac:dyDescent="0.25">
      <c r="A4" s="67">
        <v>44773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7.25" x14ac:dyDescent="0.25">
      <c r="A7" s="1"/>
      <c r="B7" s="1"/>
      <c r="C7" s="2" t="s">
        <v>3</v>
      </c>
      <c r="D7" s="1"/>
      <c r="E7" s="3" t="s">
        <v>4</v>
      </c>
      <c r="F7" s="4"/>
      <c r="G7" s="3" t="s">
        <v>5</v>
      </c>
      <c r="H7" s="4"/>
      <c r="I7" s="3" t="s">
        <v>6</v>
      </c>
      <c r="J7" s="4"/>
      <c r="K7" s="3" t="s">
        <v>7</v>
      </c>
      <c r="L7" s="4"/>
      <c r="M7" s="3" t="s">
        <v>8</v>
      </c>
    </row>
    <row r="8" spans="1:13" ht="15.75" x14ac:dyDescent="0.25">
      <c r="A8" s="5" t="s">
        <v>9</v>
      </c>
      <c r="B8" s="6"/>
      <c r="C8" s="6"/>
      <c r="D8" s="6"/>
      <c r="E8" s="1"/>
      <c r="F8" s="1"/>
      <c r="G8" s="5"/>
      <c r="H8" s="5"/>
      <c r="I8" s="5"/>
      <c r="J8" s="5"/>
      <c r="K8" s="5"/>
      <c r="L8" s="5"/>
      <c r="M8" s="5"/>
    </row>
    <row r="9" spans="1:13" ht="15.75" x14ac:dyDescent="0.25">
      <c r="A9" s="7"/>
      <c r="B9" s="6"/>
      <c r="C9" s="6"/>
      <c r="D9" s="6"/>
      <c r="E9" s="1"/>
      <c r="F9" s="1"/>
      <c r="G9" s="5"/>
      <c r="H9" s="5"/>
      <c r="I9" s="5"/>
      <c r="J9" s="5"/>
      <c r="K9" s="5"/>
      <c r="L9" s="5"/>
      <c r="M9" s="5"/>
    </row>
    <row r="10" spans="1:13" ht="15.75" x14ac:dyDescent="0.25">
      <c r="A10" s="1"/>
      <c r="B10" s="1" t="s">
        <v>10</v>
      </c>
      <c r="C10" s="8">
        <v>1110</v>
      </c>
      <c r="D10" s="1"/>
      <c r="E10" s="51">
        <f>BS!F7</f>
        <v>51463.13</v>
      </c>
      <c r="F10" s="9"/>
      <c r="G10" s="51">
        <v>0</v>
      </c>
      <c r="H10" s="9"/>
      <c r="I10" s="51">
        <v>0</v>
      </c>
      <c r="J10" s="9"/>
      <c r="K10" s="51">
        <v>0</v>
      </c>
      <c r="L10" s="9"/>
      <c r="M10" s="51">
        <f>SUM(E10:K10)</f>
        <v>51463.13</v>
      </c>
    </row>
    <row r="11" spans="1:13" ht="15.75" x14ac:dyDescent="0.25">
      <c r="A11" s="1"/>
      <c r="B11" s="1" t="s">
        <v>11</v>
      </c>
      <c r="C11" s="8">
        <v>1160</v>
      </c>
      <c r="D11" s="1"/>
      <c r="E11" s="48">
        <v>0</v>
      </c>
      <c r="F11" s="10"/>
      <c r="G11" s="48"/>
      <c r="H11" s="10"/>
      <c r="I11" s="48"/>
      <c r="J11" s="10"/>
      <c r="K11" s="48"/>
      <c r="L11" s="10"/>
      <c r="M11" s="56">
        <f t="shared" ref="M11:M16" si="0">SUM(E11:K11)</f>
        <v>0</v>
      </c>
    </row>
    <row r="12" spans="1:13" ht="15.75" x14ac:dyDescent="0.25">
      <c r="A12" s="1"/>
      <c r="B12" s="1" t="s">
        <v>12</v>
      </c>
      <c r="C12" s="8">
        <v>1130</v>
      </c>
      <c r="D12" s="1"/>
      <c r="E12" s="48">
        <f>BS!F9-G12</f>
        <v>0</v>
      </c>
      <c r="F12" s="10"/>
      <c r="G12" s="48">
        <v>0</v>
      </c>
      <c r="H12" s="10"/>
      <c r="I12" s="48"/>
      <c r="J12" s="10"/>
      <c r="K12" s="48"/>
      <c r="L12" s="10"/>
      <c r="M12" s="56">
        <f t="shared" si="0"/>
        <v>0</v>
      </c>
    </row>
    <row r="13" spans="1:13" ht="15.75" x14ac:dyDescent="0.25">
      <c r="A13" s="1"/>
      <c r="B13" s="1" t="s">
        <v>13</v>
      </c>
      <c r="C13" s="8" t="s">
        <v>14</v>
      </c>
      <c r="D13" s="1"/>
      <c r="E13" s="48">
        <f>BS!F27</f>
        <v>0</v>
      </c>
      <c r="F13" s="10"/>
      <c r="G13" s="48"/>
      <c r="H13" s="10"/>
      <c r="I13" s="48"/>
      <c r="J13" s="10"/>
      <c r="K13" s="48"/>
      <c r="L13" s="10"/>
      <c r="M13" s="56">
        <f t="shared" si="0"/>
        <v>0</v>
      </c>
    </row>
    <row r="14" spans="1:13" ht="15.75" x14ac:dyDescent="0.25">
      <c r="A14" s="1"/>
      <c r="B14" s="1" t="s">
        <v>15</v>
      </c>
      <c r="C14" s="8">
        <v>1210</v>
      </c>
      <c r="D14" s="1"/>
      <c r="E14" s="48">
        <f>BS!F28</f>
        <v>0</v>
      </c>
      <c r="F14" s="10"/>
      <c r="G14" s="48"/>
      <c r="H14" s="10"/>
      <c r="I14" s="48"/>
      <c r="J14" s="10"/>
      <c r="K14" s="48"/>
      <c r="L14" s="10"/>
      <c r="M14" s="56">
        <f t="shared" si="0"/>
        <v>0</v>
      </c>
    </row>
    <row r="15" spans="1:13" ht="15.75" x14ac:dyDescent="0.25">
      <c r="A15" s="1"/>
      <c r="B15" s="1" t="s">
        <v>16</v>
      </c>
      <c r="C15" s="8">
        <v>1140</v>
      </c>
      <c r="D15" s="1"/>
      <c r="E15" s="48">
        <f>+G28</f>
        <v>0</v>
      </c>
      <c r="F15" s="10"/>
      <c r="G15" s="48"/>
      <c r="H15" s="10"/>
      <c r="I15" s="48"/>
      <c r="J15" s="10"/>
      <c r="K15" s="48"/>
      <c r="L15" s="10"/>
      <c r="M15" s="56">
        <f t="shared" si="0"/>
        <v>0</v>
      </c>
    </row>
    <row r="16" spans="1:13" ht="15.75" x14ac:dyDescent="0.25">
      <c r="A16" s="1"/>
      <c r="B16" s="1" t="s">
        <v>17</v>
      </c>
      <c r="C16" s="8">
        <v>1400</v>
      </c>
      <c r="D16" s="1"/>
      <c r="E16" s="48">
        <v>0</v>
      </c>
      <c r="F16" s="10"/>
      <c r="G16" s="48"/>
      <c r="H16" s="10"/>
      <c r="I16" s="48"/>
      <c r="J16" s="10"/>
      <c r="K16" s="48"/>
      <c r="L16" s="10"/>
      <c r="M16" s="56">
        <f t="shared" si="0"/>
        <v>0</v>
      </c>
    </row>
    <row r="17" spans="1:13" ht="15.75" x14ac:dyDescent="0.25">
      <c r="A17" s="1"/>
      <c r="B17" s="1"/>
      <c r="C17" s="8"/>
      <c r="D17" s="1"/>
      <c r="E17" s="48"/>
      <c r="F17" s="10"/>
      <c r="G17" s="48"/>
      <c r="H17" s="10"/>
      <c r="I17" s="48"/>
      <c r="J17" s="10"/>
      <c r="K17" s="48"/>
      <c r="L17" s="10"/>
      <c r="M17" s="48"/>
    </row>
    <row r="18" spans="1:13" ht="16.5" thickBot="1" x14ac:dyDescent="0.3">
      <c r="A18" s="1" t="s">
        <v>18</v>
      </c>
      <c r="B18" s="5"/>
      <c r="C18" s="6"/>
      <c r="D18" s="5"/>
      <c r="E18" s="53">
        <f>SUM(E10:E16)</f>
        <v>51463.13</v>
      </c>
      <c r="F18" s="9"/>
      <c r="G18" s="53">
        <f>SUM(G10:G15)</f>
        <v>0</v>
      </c>
      <c r="H18" s="9"/>
      <c r="I18" s="53">
        <f>SUM(I10:I14)</f>
        <v>0</v>
      </c>
      <c r="J18" s="9"/>
      <c r="K18" s="53">
        <f>SUM(K10:K14)</f>
        <v>0</v>
      </c>
      <c r="L18" s="9"/>
      <c r="M18" s="53">
        <f>SUM(M10:M14)</f>
        <v>51463.13</v>
      </c>
    </row>
    <row r="19" spans="1:13" ht="16.5" thickTop="1" x14ac:dyDescent="0.25">
      <c r="A19" s="5"/>
      <c r="B19" s="5"/>
      <c r="C19" s="6"/>
      <c r="D19" s="5"/>
      <c r="E19" s="9"/>
      <c r="F19" s="9"/>
      <c r="G19" s="9"/>
      <c r="H19" s="9"/>
      <c r="I19" s="9"/>
      <c r="J19" s="9"/>
      <c r="K19" s="9"/>
      <c r="L19" s="9"/>
      <c r="M19" s="9"/>
    </row>
    <row r="20" spans="1:13" ht="15.75" x14ac:dyDescent="0.25">
      <c r="A20" s="5" t="s">
        <v>19</v>
      </c>
      <c r="B20" s="6"/>
      <c r="C20" s="6"/>
      <c r="D20" s="6"/>
      <c r="E20" s="9"/>
      <c r="F20" s="9"/>
      <c r="G20" s="9"/>
      <c r="H20" s="9"/>
      <c r="I20" s="9"/>
      <c r="J20" s="9"/>
      <c r="K20" s="9"/>
      <c r="L20" s="9"/>
      <c r="M20" s="9"/>
    </row>
    <row r="21" spans="1:13" ht="15.75" x14ac:dyDescent="0.25">
      <c r="A21" s="7"/>
      <c r="B21" s="6"/>
      <c r="C21" s="6"/>
      <c r="D21" s="6"/>
      <c r="E21" s="9"/>
      <c r="F21" s="9"/>
      <c r="G21" s="9"/>
      <c r="H21" s="9"/>
      <c r="I21" s="9"/>
      <c r="J21" s="9"/>
      <c r="K21" s="9"/>
      <c r="L21" s="9"/>
      <c r="M21" s="9"/>
    </row>
    <row r="22" spans="1:13" ht="15.75" x14ac:dyDescent="0.25">
      <c r="A22" s="1" t="s">
        <v>20</v>
      </c>
      <c r="B22" s="6"/>
      <c r="C22" s="6"/>
      <c r="D22" s="6"/>
      <c r="E22" s="9"/>
      <c r="F22" s="9"/>
      <c r="G22" s="9"/>
      <c r="H22" s="9"/>
      <c r="I22" s="9"/>
      <c r="J22" s="9"/>
      <c r="K22" s="9"/>
      <c r="L22" s="9"/>
      <c r="M22" s="9"/>
    </row>
    <row r="23" spans="1:13" ht="15.75" x14ac:dyDescent="0.25">
      <c r="A23" s="1"/>
      <c r="B23" s="1" t="s">
        <v>21</v>
      </c>
      <c r="C23" s="8">
        <v>2120</v>
      </c>
      <c r="D23" s="1"/>
      <c r="E23" s="51">
        <f>BS!F35</f>
        <v>0</v>
      </c>
      <c r="F23" s="9"/>
      <c r="G23" s="51">
        <v>0</v>
      </c>
      <c r="H23" s="9"/>
      <c r="I23" s="51">
        <v>0</v>
      </c>
      <c r="J23" s="9"/>
      <c r="K23" s="51">
        <v>0</v>
      </c>
      <c r="L23" s="9"/>
      <c r="M23" s="51">
        <f t="shared" ref="M23" si="1">E23+G23+I23+K23</f>
        <v>0</v>
      </c>
    </row>
    <row r="24" spans="1:13" ht="15.75" x14ac:dyDescent="0.25">
      <c r="A24" s="1"/>
      <c r="B24" s="1" t="s">
        <v>22</v>
      </c>
      <c r="C24" s="8" t="s">
        <v>23</v>
      </c>
      <c r="D24" s="1"/>
      <c r="E24" s="48">
        <f>BS!F38-G24</f>
        <v>29803.56</v>
      </c>
      <c r="F24" s="11"/>
      <c r="G24" s="52">
        <v>0</v>
      </c>
      <c r="H24" s="11"/>
      <c r="I24" s="52"/>
      <c r="J24" s="11"/>
      <c r="K24" s="52"/>
      <c r="L24" s="11"/>
      <c r="M24" s="56">
        <f t="shared" ref="M24:M29" si="2">SUM(E24:K24)</f>
        <v>29803.56</v>
      </c>
    </row>
    <row r="25" spans="1:13" ht="15.75" x14ac:dyDescent="0.25">
      <c r="A25" s="1"/>
      <c r="B25" s="1" t="s">
        <v>24</v>
      </c>
      <c r="C25" s="8">
        <v>2410</v>
      </c>
      <c r="D25" s="1"/>
      <c r="E25" s="48">
        <f>BS!F39</f>
        <v>0</v>
      </c>
      <c r="F25" s="10"/>
      <c r="G25" s="48"/>
      <c r="H25" s="10"/>
      <c r="I25" s="48"/>
      <c r="J25" s="10"/>
      <c r="K25" s="48"/>
      <c r="L25" s="10"/>
      <c r="M25" s="56">
        <f t="shared" si="2"/>
        <v>0</v>
      </c>
    </row>
    <row r="26" spans="1:13" ht="15.75" x14ac:dyDescent="0.25">
      <c r="A26" s="1"/>
      <c r="B26" s="1" t="s">
        <v>25</v>
      </c>
      <c r="C26" s="8" t="s">
        <v>26</v>
      </c>
      <c r="D26" s="1"/>
      <c r="E26" s="48">
        <v>0</v>
      </c>
      <c r="F26" s="10"/>
      <c r="G26" s="48"/>
      <c r="H26" s="10"/>
      <c r="I26" s="48"/>
      <c r="J26" s="10"/>
      <c r="K26" s="48"/>
      <c r="L26" s="10"/>
      <c r="M26" s="56">
        <f t="shared" si="2"/>
        <v>0</v>
      </c>
    </row>
    <row r="27" spans="1:13" ht="15.75" x14ac:dyDescent="0.25">
      <c r="A27" s="1"/>
      <c r="B27" s="1" t="s">
        <v>27</v>
      </c>
      <c r="C27" s="8">
        <v>2315</v>
      </c>
      <c r="D27" s="1"/>
      <c r="E27" s="48">
        <v>0</v>
      </c>
      <c r="F27" s="10"/>
      <c r="G27" s="48"/>
      <c r="H27" s="10"/>
      <c r="I27" s="48"/>
      <c r="J27" s="10"/>
      <c r="K27" s="48"/>
      <c r="L27" s="10"/>
      <c r="M27" s="56">
        <f t="shared" si="2"/>
        <v>0</v>
      </c>
    </row>
    <row r="28" spans="1:13" ht="15.75" x14ac:dyDescent="0.25">
      <c r="A28" s="1"/>
      <c r="B28" s="1" t="s">
        <v>28</v>
      </c>
      <c r="C28" s="8" t="s">
        <v>29</v>
      </c>
      <c r="D28" s="1"/>
      <c r="E28" s="48"/>
      <c r="F28" s="10"/>
      <c r="G28" s="48">
        <f>+G12</f>
        <v>0</v>
      </c>
      <c r="H28" s="10"/>
      <c r="I28" s="48"/>
      <c r="J28" s="10"/>
      <c r="K28" s="48"/>
      <c r="L28" s="10"/>
      <c r="M28" s="56">
        <f t="shared" si="2"/>
        <v>0</v>
      </c>
    </row>
    <row r="29" spans="1:13" ht="15.75" x14ac:dyDescent="0.25">
      <c r="A29" s="1"/>
      <c r="B29" s="1"/>
      <c r="C29" s="8"/>
      <c r="D29" s="1"/>
      <c r="E29" s="48"/>
      <c r="F29" s="10"/>
      <c r="G29" s="48"/>
      <c r="H29" s="10"/>
      <c r="I29" s="48"/>
      <c r="J29" s="10"/>
      <c r="K29" s="48"/>
      <c r="L29" s="10"/>
      <c r="M29" s="56">
        <f t="shared" si="2"/>
        <v>0</v>
      </c>
    </row>
    <row r="30" spans="1:13" ht="15.75" x14ac:dyDescent="0.25">
      <c r="A30" s="1"/>
      <c r="B30" s="1" t="s">
        <v>30</v>
      </c>
      <c r="C30" s="8"/>
      <c r="D30" s="1"/>
      <c r="E30" s="50">
        <f>SUM(E23:E28)</f>
        <v>29803.56</v>
      </c>
      <c r="F30" s="10"/>
      <c r="G30" s="50">
        <f>SUM(G23:G28)</f>
        <v>0</v>
      </c>
      <c r="H30" s="10"/>
      <c r="I30" s="50">
        <f>SUM(I23:I28)</f>
        <v>0</v>
      </c>
      <c r="J30" s="10"/>
      <c r="K30" s="50">
        <f>SUM(K23:K28)</f>
        <v>0</v>
      </c>
      <c r="L30" s="10"/>
      <c r="M30" s="50">
        <f>SUM(M23:M28)</f>
        <v>29803.56</v>
      </c>
    </row>
    <row r="31" spans="1:13" ht="15.75" x14ac:dyDescent="0.25">
      <c r="A31" s="1"/>
      <c r="B31" s="1"/>
      <c r="C31" s="8"/>
      <c r="D31" s="1"/>
      <c r="E31" s="9"/>
      <c r="F31" s="9"/>
      <c r="G31" s="9"/>
      <c r="H31" s="9"/>
      <c r="I31" s="9"/>
      <c r="J31" s="9"/>
      <c r="K31" s="9"/>
      <c r="L31" s="9"/>
      <c r="M31" s="9"/>
    </row>
    <row r="32" spans="1:13" ht="15.75" x14ac:dyDescent="0.25">
      <c r="A32" s="1" t="s">
        <v>31</v>
      </c>
      <c r="B32" s="6"/>
      <c r="C32" s="6"/>
      <c r="D32" s="6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5.75" x14ac:dyDescent="0.25">
      <c r="A33" s="1"/>
      <c r="B33" s="1" t="s">
        <v>32</v>
      </c>
      <c r="C33" s="8">
        <v>2710</v>
      </c>
      <c r="D33" s="1"/>
      <c r="E33" s="51">
        <f>BS!F27+E14</f>
        <v>0</v>
      </c>
      <c r="F33" s="10"/>
      <c r="G33" s="51">
        <v>0</v>
      </c>
      <c r="H33" s="10"/>
      <c r="I33" s="51">
        <v>0</v>
      </c>
      <c r="J33" s="10"/>
      <c r="K33" s="51">
        <v>0</v>
      </c>
      <c r="L33" s="10"/>
      <c r="M33" s="51">
        <f>E33+G33+I33+K33</f>
        <v>0</v>
      </c>
    </row>
    <row r="34" spans="1:13" ht="15.75" x14ac:dyDescent="0.25">
      <c r="A34" s="1"/>
      <c r="B34" s="1" t="s">
        <v>33</v>
      </c>
      <c r="C34" s="8">
        <v>2720</v>
      </c>
      <c r="D34" s="1"/>
      <c r="E34" s="48">
        <v>0</v>
      </c>
      <c r="F34" s="10"/>
      <c r="G34" s="48"/>
      <c r="H34" s="10"/>
      <c r="I34" s="48"/>
      <c r="J34" s="10"/>
      <c r="K34" s="48"/>
      <c r="L34" s="10"/>
      <c r="M34" s="48">
        <f>E34+G34+I34+K34</f>
        <v>0</v>
      </c>
    </row>
    <row r="35" spans="1:13" ht="15.75" x14ac:dyDescent="0.25">
      <c r="A35" s="1"/>
      <c r="B35" s="1" t="s">
        <v>34</v>
      </c>
      <c r="C35" s="8">
        <v>2730</v>
      </c>
      <c r="D35" s="1"/>
      <c r="E35" s="48">
        <v>0</v>
      </c>
      <c r="F35" s="10"/>
      <c r="G35" s="48"/>
      <c r="H35" s="10"/>
      <c r="I35" s="48"/>
      <c r="J35" s="10"/>
      <c r="K35" s="48"/>
      <c r="L35" s="10"/>
      <c r="M35" s="48">
        <f>E35+G35+I35+K35</f>
        <v>0</v>
      </c>
    </row>
    <row r="36" spans="1:13" ht="15.75" x14ac:dyDescent="0.25">
      <c r="A36" s="1"/>
      <c r="B36" s="1" t="s">
        <v>35</v>
      </c>
      <c r="C36" s="8">
        <v>2740</v>
      </c>
      <c r="D36" s="1"/>
      <c r="E36" s="48">
        <v>0</v>
      </c>
      <c r="F36" s="10"/>
      <c r="G36" s="48"/>
      <c r="H36" s="10"/>
      <c r="I36" s="48"/>
      <c r="J36" s="10"/>
      <c r="K36" s="48"/>
      <c r="L36" s="10"/>
      <c r="M36" s="48">
        <f>E36+G36+I36+K36</f>
        <v>0</v>
      </c>
    </row>
    <row r="37" spans="1:13" ht="15.75" x14ac:dyDescent="0.25">
      <c r="A37" s="1"/>
      <c r="B37" s="1" t="s">
        <v>36</v>
      </c>
      <c r="C37" s="8">
        <v>2750</v>
      </c>
      <c r="D37" s="1"/>
      <c r="E37" s="48">
        <f>'Stmt of Rev, Exp, and Fund Bal'!E57-E33</f>
        <v>21659.57</v>
      </c>
      <c r="F37" s="10"/>
      <c r="G37" s="48"/>
      <c r="H37" s="10"/>
      <c r="I37" s="48"/>
      <c r="J37" s="10"/>
      <c r="K37" s="48"/>
      <c r="L37" s="10"/>
      <c r="M37" s="48">
        <f>E37+G37+I37+K37</f>
        <v>21659.57</v>
      </c>
    </row>
    <row r="38" spans="1:13" ht="15.75" x14ac:dyDescent="0.25">
      <c r="A38" s="1"/>
      <c r="B38" s="1"/>
      <c r="C38" s="1"/>
      <c r="D38" s="1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15.75" x14ac:dyDescent="0.25">
      <c r="A39" s="1"/>
      <c r="B39" s="5" t="s">
        <v>37</v>
      </c>
      <c r="C39" s="5"/>
      <c r="D39" s="5"/>
      <c r="E39" s="50">
        <f>SUM(E33:E37)</f>
        <v>21659.57</v>
      </c>
      <c r="F39" s="10"/>
      <c r="G39" s="50">
        <f>SUM(G33:G37)</f>
        <v>0</v>
      </c>
      <c r="H39" s="10"/>
      <c r="I39" s="50">
        <f>SUM(I33:I37)</f>
        <v>0</v>
      </c>
      <c r="J39" s="10"/>
      <c r="K39" s="50">
        <f>SUM(K33:K37)</f>
        <v>0</v>
      </c>
      <c r="L39" s="10"/>
      <c r="M39" s="50">
        <f>SUM(M33:M37)</f>
        <v>21659.57</v>
      </c>
    </row>
    <row r="40" spans="1:13" ht="16.5" thickBot="1" x14ac:dyDescent="0.3">
      <c r="A40" s="5" t="s">
        <v>38</v>
      </c>
      <c r="B40" s="1"/>
      <c r="C40" s="1"/>
      <c r="D40" s="1"/>
      <c r="E40" s="54">
        <f>E39+E30</f>
        <v>51463.130000000005</v>
      </c>
      <c r="F40" s="12"/>
      <c r="G40" s="54">
        <f>G39+G30</f>
        <v>0</v>
      </c>
      <c r="H40" s="12"/>
      <c r="I40" s="54">
        <f>I39+I30</f>
        <v>0</v>
      </c>
      <c r="J40" s="12"/>
      <c r="K40" s="54">
        <f>K39+K30</f>
        <v>0</v>
      </c>
      <c r="L40" s="12"/>
      <c r="M40" s="54">
        <f>M39+M30</f>
        <v>51463.130000000005</v>
      </c>
    </row>
    <row r="41" spans="1:13" ht="16.5" thickTop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E42" s="55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opLeftCell="A27" workbookViewId="0">
      <selection activeCell="H44" sqref="H44"/>
    </sheetView>
  </sheetViews>
  <sheetFormatPr defaultRowHeight="15" x14ac:dyDescent="0.25"/>
  <cols>
    <col min="1" max="4" width="3" style="42" customWidth="1"/>
    <col min="5" max="5" width="36" style="42" customWidth="1"/>
    <col min="6" max="6" width="10" bestFit="1" customWidth="1"/>
    <col min="7" max="7" width="18.140625" bestFit="1" customWidth="1"/>
  </cols>
  <sheetData>
    <row r="1" spans="1:6" s="35" customFormat="1" ht="15.75" thickBot="1" x14ac:dyDescent="0.3">
      <c r="A1" s="33"/>
      <c r="B1" s="33"/>
      <c r="C1" s="33"/>
      <c r="D1" s="33"/>
      <c r="E1" s="33"/>
      <c r="F1" s="34" t="s">
        <v>123</v>
      </c>
    </row>
    <row r="2" spans="1:6" ht="15.75" thickTop="1" x14ac:dyDescent="0.25">
      <c r="A2" s="36" t="s">
        <v>9</v>
      </c>
      <c r="B2" s="36"/>
      <c r="C2" s="36"/>
      <c r="D2" s="36"/>
      <c r="E2" s="36"/>
      <c r="F2" s="37"/>
    </row>
    <row r="3" spans="1:6" x14ac:dyDescent="0.25">
      <c r="A3" s="36"/>
      <c r="B3" s="36" t="s">
        <v>124</v>
      </c>
      <c r="C3" s="36"/>
      <c r="D3" s="36"/>
      <c r="E3" s="36"/>
      <c r="F3" s="37"/>
    </row>
    <row r="4" spans="1:6" x14ac:dyDescent="0.25">
      <c r="A4" s="36"/>
      <c r="B4" s="36"/>
      <c r="C4" s="36" t="s">
        <v>125</v>
      </c>
      <c r="D4" s="36"/>
      <c r="E4" s="36"/>
      <c r="F4" s="37"/>
    </row>
    <row r="5" spans="1:6" x14ac:dyDescent="0.25">
      <c r="A5" s="36"/>
      <c r="B5" s="36"/>
      <c r="C5" s="36"/>
      <c r="D5" s="36" t="s">
        <v>126</v>
      </c>
      <c r="E5" s="36"/>
      <c r="F5" s="37">
        <v>51463.13</v>
      </c>
    </row>
    <row r="6" spans="1:6" ht="15.75" thickBot="1" x14ac:dyDescent="0.3">
      <c r="A6" s="36"/>
      <c r="B6" s="36"/>
      <c r="C6" s="36"/>
      <c r="D6" s="36" t="s">
        <v>127</v>
      </c>
      <c r="E6" s="36"/>
      <c r="F6" s="40">
        <v>0</v>
      </c>
    </row>
    <row r="7" spans="1:6" x14ac:dyDescent="0.25">
      <c r="A7" s="36"/>
      <c r="B7" s="36"/>
      <c r="C7" s="36" t="s">
        <v>128</v>
      </c>
      <c r="D7" s="36"/>
      <c r="E7" s="36"/>
      <c r="F7" s="37">
        <f>ROUND(SUM(F4:F6),5)</f>
        <v>51463.13</v>
      </c>
    </row>
    <row r="8" spans="1:6" x14ac:dyDescent="0.25">
      <c r="A8" s="36"/>
      <c r="B8" s="36"/>
      <c r="C8" s="36" t="s">
        <v>129</v>
      </c>
      <c r="D8" s="36"/>
      <c r="E8" s="36"/>
      <c r="F8" s="37"/>
    </row>
    <row r="9" spans="1:6" ht="15.75" thickBot="1" x14ac:dyDescent="0.3">
      <c r="A9" s="36"/>
      <c r="B9" s="36"/>
      <c r="C9" s="36"/>
      <c r="D9" s="36" t="s">
        <v>130</v>
      </c>
      <c r="E9" s="36"/>
      <c r="F9" s="37">
        <v>0</v>
      </c>
    </row>
    <row r="10" spans="1:6" ht="15.75" thickBot="1" x14ac:dyDescent="0.3">
      <c r="A10" s="36"/>
      <c r="B10" s="36"/>
      <c r="C10" s="36" t="s">
        <v>131</v>
      </c>
      <c r="D10" s="36"/>
      <c r="E10" s="36"/>
      <c r="F10" s="39">
        <f>ROUND(SUM(F8:F9),5)</f>
        <v>0</v>
      </c>
    </row>
    <row r="11" spans="1:6" x14ac:dyDescent="0.25">
      <c r="A11" s="36"/>
      <c r="B11" s="36" t="s">
        <v>132</v>
      </c>
      <c r="C11" s="36"/>
      <c r="D11" s="36"/>
      <c r="E11" s="36"/>
      <c r="F11" s="37">
        <f>ROUND(F3+F7+F10,5)</f>
        <v>51463.13</v>
      </c>
    </row>
    <row r="12" spans="1:6" x14ac:dyDescent="0.25">
      <c r="A12" s="36"/>
      <c r="B12" s="36" t="s">
        <v>133</v>
      </c>
      <c r="C12" s="36"/>
      <c r="D12" s="36"/>
      <c r="E12" s="36"/>
      <c r="F12" s="37"/>
    </row>
    <row r="13" spans="1:6" x14ac:dyDescent="0.25">
      <c r="A13" s="36"/>
      <c r="B13" s="36"/>
      <c r="C13" s="36" t="s">
        <v>134</v>
      </c>
      <c r="D13" s="36"/>
      <c r="E13" s="36"/>
      <c r="F13" s="37"/>
    </row>
    <row r="14" spans="1:6" x14ac:dyDescent="0.25">
      <c r="A14" s="36"/>
      <c r="B14" s="36"/>
      <c r="C14" s="36"/>
      <c r="D14" s="36" t="s">
        <v>135</v>
      </c>
      <c r="E14" s="36"/>
      <c r="F14" s="37"/>
    </row>
    <row r="15" spans="1:6" ht="15.75" thickBot="1" x14ac:dyDescent="0.3">
      <c r="A15" s="36"/>
      <c r="B15" s="36"/>
      <c r="C15" s="36"/>
      <c r="D15" s="36" t="s">
        <v>136</v>
      </c>
      <c r="E15" s="36"/>
      <c r="F15" s="40"/>
    </row>
    <row r="16" spans="1:6" x14ac:dyDescent="0.25">
      <c r="A16" s="36"/>
      <c r="B16" s="36"/>
      <c r="C16" s="36" t="s">
        <v>137</v>
      </c>
      <c r="D16" s="36"/>
      <c r="E16" s="36"/>
      <c r="F16" s="37">
        <f>ROUND(SUM(F13:F15),5)</f>
        <v>0</v>
      </c>
    </row>
    <row r="17" spans="1:6" x14ac:dyDescent="0.25">
      <c r="A17" s="36"/>
      <c r="B17" s="36"/>
      <c r="C17" s="36" t="s">
        <v>138</v>
      </c>
      <c r="D17" s="36"/>
      <c r="E17" s="36"/>
      <c r="F17" s="37"/>
    </row>
    <row r="18" spans="1:6" x14ac:dyDescent="0.25">
      <c r="A18" s="36"/>
      <c r="B18" s="36"/>
      <c r="C18" s="36"/>
      <c r="D18" s="36" t="s">
        <v>139</v>
      </c>
      <c r="E18" s="36"/>
      <c r="F18" s="37"/>
    </row>
    <row r="19" spans="1:6" ht="15.75" thickBot="1" x14ac:dyDescent="0.3">
      <c r="A19" s="36"/>
      <c r="B19" s="36"/>
      <c r="C19" s="36"/>
      <c r="D19" s="36" t="s">
        <v>140</v>
      </c>
      <c r="E19" s="36"/>
      <c r="F19" s="40"/>
    </row>
    <row r="20" spans="1:6" x14ac:dyDescent="0.25">
      <c r="A20" s="36"/>
      <c r="B20" s="36"/>
      <c r="C20" s="36" t="s">
        <v>141</v>
      </c>
      <c r="D20" s="36"/>
      <c r="E20" s="36"/>
      <c r="F20" s="37">
        <f>ROUND(SUM(F17:F19),5)</f>
        <v>0</v>
      </c>
    </row>
    <row r="21" spans="1:6" x14ac:dyDescent="0.25">
      <c r="A21" s="36"/>
      <c r="B21" s="36"/>
      <c r="C21" s="36" t="s">
        <v>142</v>
      </c>
      <c r="D21" s="36"/>
      <c r="E21" s="36"/>
      <c r="F21" s="37"/>
    </row>
    <row r="22" spans="1:6" x14ac:dyDescent="0.25">
      <c r="A22" s="36"/>
      <c r="B22" s="36"/>
      <c r="C22" s="36"/>
      <c r="D22" s="36" t="s">
        <v>143</v>
      </c>
      <c r="E22" s="36"/>
      <c r="F22" s="37"/>
    </row>
    <row r="23" spans="1:6" ht="15.75" thickBot="1" x14ac:dyDescent="0.3">
      <c r="A23" s="36"/>
      <c r="B23" s="36"/>
      <c r="C23" s="36"/>
      <c r="D23" s="36" t="s">
        <v>144</v>
      </c>
      <c r="E23" s="36"/>
      <c r="F23" s="37"/>
    </row>
    <row r="24" spans="1:6" ht="15.75" thickBot="1" x14ac:dyDescent="0.3">
      <c r="A24" s="36"/>
      <c r="B24" s="36"/>
      <c r="C24" s="36" t="s">
        <v>145</v>
      </c>
      <c r="D24" s="36"/>
      <c r="E24" s="36"/>
      <c r="F24" s="39">
        <f>ROUND(SUM(F21:F23),5)</f>
        <v>0</v>
      </c>
    </row>
    <row r="25" spans="1:6" x14ac:dyDescent="0.25">
      <c r="A25" s="36"/>
      <c r="B25" s="36" t="s">
        <v>146</v>
      </c>
      <c r="C25" s="36"/>
      <c r="D25" s="36"/>
      <c r="E25" s="36"/>
      <c r="F25" s="37">
        <f>ROUND(F12+F16+F20+F24,5)</f>
        <v>0</v>
      </c>
    </row>
    <row r="26" spans="1:6" x14ac:dyDescent="0.25">
      <c r="A26" s="36"/>
      <c r="B26" s="36" t="s">
        <v>147</v>
      </c>
      <c r="C26" s="36"/>
      <c r="D26" s="36"/>
      <c r="E26" s="36"/>
      <c r="F26" s="37"/>
    </row>
    <row r="27" spans="1:6" x14ac:dyDescent="0.25">
      <c r="A27" s="36"/>
      <c r="B27" s="36"/>
      <c r="C27" s="36" t="s">
        <v>186</v>
      </c>
      <c r="D27" s="36"/>
      <c r="E27" s="36"/>
      <c r="F27" s="37"/>
    </row>
    <row r="28" spans="1:6" ht="15.75" thickBot="1" x14ac:dyDescent="0.3">
      <c r="A28" s="36"/>
      <c r="B28" s="36"/>
      <c r="C28" s="36" t="s">
        <v>148</v>
      </c>
      <c r="D28" s="36"/>
      <c r="E28" s="36"/>
      <c r="F28" s="37"/>
    </row>
    <row r="29" spans="1:6" ht="15.75" thickBot="1" x14ac:dyDescent="0.3">
      <c r="A29" s="36"/>
      <c r="B29" s="36" t="s">
        <v>149</v>
      </c>
      <c r="C29" s="36"/>
      <c r="D29" s="36"/>
      <c r="E29" s="36"/>
      <c r="F29" s="38">
        <f>ROUND(SUM(F26:F28),5)</f>
        <v>0</v>
      </c>
    </row>
    <row r="30" spans="1:6" s="42" customFormat="1" ht="12" thickBot="1" x14ac:dyDescent="0.25">
      <c r="A30" s="36" t="s">
        <v>150</v>
      </c>
      <c r="B30" s="36"/>
      <c r="C30" s="36"/>
      <c r="D30" s="36"/>
      <c r="E30" s="36"/>
      <c r="F30" s="41">
        <f>ROUND(F2+F11+F25+F29,5)</f>
        <v>51463.13</v>
      </c>
    </row>
    <row r="31" spans="1:6" ht="15.75" thickTop="1" x14ac:dyDescent="0.25">
      <c r="A31" s="36" t="s">
        <v>151</v>
      </c>
      <c r="B31" s="36"/>
      <c r="C31" s="36"/>
      <c r="D31" s="36"/>
      <c r="E31" s="36"/>
      <c r="F31" s="37"/>
    </row>
    <row r="32" spans="1:6" x14ac:dyDescent="0.25">
      <c r="A32" s="36"/>
      <c r="B32" s="36" t="s">
        <v>20</v>
      </c>
      <c r="C32" s="36"/>
      <c r="D32" s="36"/>
      <c r="E32" s="36"/>
      <c r="F32" s="37"/>
    </row>
    <row r="33" spans="1:8" x14ac:dyDescent="0.25">
      <c r="A33" s="36"/>
      <c r="B33" s="36"/>
      <c r="C33" s="36" t="s">
        <v>152</v>
      </c>
      <c r="D33" s="36"/>
      <c r="E33" s="36"/>
      <c r="F33" s="37"/>
    </row>
    <row r="34" spans="1:8" x14ac:dyDescent="0.25">
      <c r="A34" s="36"/>
      <c r="B34" s="36"/>
      <c r="C34" s="36"/>
      <c r="D34" s="36" t="s">
        <v>153</v>
      </c>
      <c r="E34" s="36"/>
      <c r="F34" s="37"/>
    </row>
    <row r="35" spans="1:8" ht="15.75" thickBot="1" x14ac:dyDescent="0.3">
      <c r="A35" s="36"/>
      <c r="B35" s="36"/>
      <c r="C35" s="36"/>
      <c r="D35" s="36"/>
      <c r="E35" s="36" t="s">
        <v>154</v>
      </c>
      <c r="F35" s="40">
        <f>'AP Detail'!P25</f>
        <v>0</v>
      </c>
    </row>
    <row r="36" spans="1:8" x14ac:dyDescent="0.25">
      <c r="A36" s="36"/>
      <c r="B36" s="36"/>
      <c r="C36" s="36"/>
      <c r="D36" s="36" t="s">
        <v>155</v>
      </c>
      <c r="E36" s="36"/>
      <c r="F36" s="37">
        <f>ROUND(SUM(F34:F35),5)</f>
        <v>0</v>
      </c>
    </row>
    <row r="37" spans="1:8" x14ac:dyDescent="0.25">
      <c r="A37" s="36"/>
      <c r="B37" s="36"/>
      <c r="C37" s="36"/>
      <c r="D37" s="36" t="s">
        <v>156</v>
      </c>
      <c r="E37" s="36"/>
      <c r="F37" s="37"/>
    </row>
    <row r="38" spans="1:8" x14ac:dyDescent="0.25">
      <c r="A38" s="36"/>
      <c r="B38" s="36"/>
      <c r="C38" s="36"/>
      <c r="D38" s="36"/>
      <c r="E38" s="36" t="s">
        <v>157</v>
      </c>
      <c r="F38" s="37">
        <v>29803.56</v>
      </c>
      <c r="G38" s="55">
        <f>'Balance Sheet'!E18-'Balance Sheet'!E40</f>
        <v>0</v>
      </c>
    </row>
    <row r="39" spans="1:8" ht="15.75" thickBot="1" x14ac:dyDescent="0.3">
      <c r="A39" s="36"/>
      <c r="B39" s="36"/>
      <c r="C39" s="36"/>
      <c r="D39" s="36"/>
      <c r="E39" s="36" t="s">
        <v>193</v>
      </c>
      <c r="F39" s="37"/>
      <c r="G39" s="55"/>
    </row>
    <row r="40" spans="1:8" ht="15.75" thickBot="1" x14ac:dyDescent="0.3">
      <c r="A40" s="36"/>
      <c r="B40" s="36"/>
      <c r="C40" s="36"/>
      <c r="D40" s="36" t="s">
        <v>158</v>
      </c>
      <c r="E40" s="36"/>
      <c r="F40" s="39">
        <f>ROUND(SUM(F37:F39),5)</f>
        <v>29803.56</v>
      </c>
    </row>
    <row r="41" spans="1:8" x14ac:dyDescent="0.25">
      <c r="A41" s="36"/>
      <c r="B41" s="36"/>
      <c r="C41" s="36" t="s">
        <v>159</v>
      </c>
      <c r="D41" s="36"/>
      <c r="E41" s="36"/>
      <c r="F41" s="37">
        <f>ROUND(F33+F36+F40,5)</f>
        <v>29803.56</v>
      </c>
    </row>
    <row r="42" spans="1:8" x14ac:dyDescent="0.25">
      <c r="A42" s="36"/>
      <c r="B42" s="36"/>
      <c r="C42" s="36" t="s">
        <v>160</v>
      </c>
      <c r="D42" s="36"/>
      <c r="E42" s="36"/>
      <c r="F42" s="37"/>
      <c r="G42" t="s">
        <v>201</v>
      </c>
      <c r="H42" t="s">
        <v>202</v>
      </c>
    </row>
    <row r="43" spans="1:8" ht="15.75" thickBot="1" x14ac:dyDescent="0.3">
      <c r="A43" s="36"/>
      <c r="B43" s="36"/>
      <c r="C43" s="36"/>
      <c r="D43" s="36" t="s">
        <v>200</v>
      </c>
      <c r="E43" s="36"/>
      <c r="F43" s="37">
        <v>65275</v>
      </c>
      <c r="G43" s="57"/>
      <c r="H43">
        <v>0</v>
      </c>
    </row>
    <row r="44" spans="1:8" ht="15.75" thickBot="1" x14ac:dyDescent="0.3">
      <c r="A44" s="36"/>
      <c r="B44" s="36"/>
      <c r="C44" s="36" t="s">
        <v>161</v>
      </c>
      <c r="D44" s="36"/>
      <c r="E44" s="36"/>
      <c r="F44" s="39">
        <f>ROUND(SUM(F42:F43),5)</f>
        <v>65275</v>
      </c>
    </row>
    <row r="45" spans="1:8" x14ac:dyDescent="0.25">
      <c r="A45" s="36"/>
      <c r="B45" s="36" t="s">
        <v>30</v>
      </c>
      <c r="C45" s="36"/>
      <c r="D45" s="36"/>
      <c r="E45" s="36"/>
      <c r="F45" s="37">
        <f>ROUND(F32+F41+F44,5)</f>
        <v>95078.56</v>
      </c>
    </row>
    <row r="46" spans="1:8" x14ac:dyDescent="0.25">
      <c r="A46" s="36"/>
      <c r="B46" s="36" t="s">
        <v>162</v>
      </c>
      <c r="C46" s="36"/>
      <c r="D46" s="36"/>
      <c r="E46" s="36"/>
      <c r="F46" s="37"/>
    </row>
    <row r="47" spans="1:8" x14ac:dyDescent="0.25">
      <c r="A47" s="36"/>
      <c r="B47" s="36"/>
      <c r="C47" s="36" t="s">
        <v>163</v>
      </c>
      <c r="D47" s="36"/>
      <c r="E47" s="36"/>
      <c r="F47" s="37">
        <v>0</v>
      </c>
    </row>
    <row r="48" spans="1:8" x14ac:dyDescent="0.25">
      <c r="A48" s="36"/>
      <c r="B48" s="36"/>
      <c r="C48" s="36" t="s">
        <v>164</v>
      </c>
      <c r="D48" s="36"/>
      <c r="E48" s="36"/>
      <c r="F48" s="37">
        <v>0</v>
      </c>
    </row>
    <row r="49" spans="1:7" ht="15.75" thickBot="1" x14ac:dyDescent="0.3">
      <c r="A49" s="36"/>
      <c r="B49" s="36"/>
      <c r="C49" s="36" t="s">
        <v>114</v>
      </c>
      <c r="D49" s="36"/>
      <c r="E49" s="36"/>
      <c r="F49" s="37">
        <f>'Stmt of Rev, Exp, and Fund Bal'!E57-F48-F47</f>
        <v>21659.57</v>
      </c>
    </row>
    <row r="50" spans="1:7" ht="15.75" thickBot="1" x14ac:dyDescent="0.3">
      <c r="A50" s="36"/>
      <c r="B50" s="36" t="s">
        <v>165</v>
      </c>
      <c r="C50" s="36"/>
      <c r="D50" s="36"/>
      <c r="E50" s="36"/>
      <c r="F50" s="38">
        <f>ROUND(SUM(F46:F49),5)</f>
        <v>21659.57</v>
      </c>
      <c r="G50" s="63">
        <f>F50-435391.11</f>
        <v>-413731.54</v>
      </c>
    </row>
    <row r="51" spans="1:7" s="42" customFormat="1" ht="12" thickBot="1" x14ac:dyDescent="0.25">
      <c r="A51" s="36" t="s">
        <v>166</v>
      </c>
      <c r="B51" s="36"/>
      <c r="C51" s="36"/>
      <c r="D51" s="36"/>
      <c r="E51" s="36"/>
      <c r="F51" s="41">
        <f>ROUND(F31+F45+F50,5)</f>
        <v>116738.13</v>
      </c>
    </row>
    <row r="52" spans="1:7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4"/>
  <sheetViews>
    <sheetView zoomScale="70" zoomScaleNormal="70" workbookViewId="0">
      <pane xSplit="3" ySplit="4" topLeftCell="D30" activePane="bottomRight" state="frozen"/>
      <selection pane="topRight" activeCell="D1" sqref="D1"/>
      <selection pane="bottomLeft" activeCell="A5" sqref="A5"/>
      <selection pane="bottomRight" activeCell="C8" sqref="C8"/>
    </sheetView>
  </sheetViews>
  <sheetFormatPr defaultRowHeight="15" x14ac:dyDescent="0.25"/>
  <cols>
    <col min="1" max="1" width="3.7109375" customWidth="1"/>
    <col min="2" max="2" width="69.7109375" customWidth="1"/>
    <col min="3" max="3" width="11.85546875" customWidth="1"/>
    <col min="4" max="4" width="2.140625" customWidth="1"/>
    <col min="5" max="8" width="16.7109375" customWidth="1"/>
    <col min="9" max="9" width="2.140625" customWidth="1"/>
    <col min="10" max="13" width="16.7109375" customWidth="1"/>
    <col min="14" max="14" width="4.85546875" customWidth="1"/>
    <col min="15" max="18" width="16.7109375" customWidth="1"/>
    <col min="19" max="19" width="2.42578125" customWidth="1"/>
    <col min="20" max="23" width="16.7109375" customWidth="1"/>
    <col min="24" max="24" width="3.28515625" customWidth="1"/>
    <col min="25" max="28" width="16.7109375" customWidth="1"/>
  </cols>
  <sheetData>
    <row r="1" spans="1:28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3"/>
      <c r="N1" s="14"/>
      <c r="O1" s="14"/>
      <c r="P1" s="14"/>
      <c r="Q1" s="14"/>
      <c r="R1" s="14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3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5.75" x14ac:dyDescent="0.25">
      <c r="A3" s="66" t="s">
        <v>39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13"/>
      <c r="N3" s="14"/>
      <c r="O3" s="14"/>
      <c r="P3" s="14"/>
      <c r="Q3" s="14"/>
      <c r="R3" s="14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66" t="s">
        <v>197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13"/>
      <c r="N4" s="14"/>
      <c r="O4" s="14"/>
      <c r="P4" s="14"/>
      <c r="Q4" s="14"/>
      <c r="R4" s="14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1"/>
      <c r="B6" s="13" t="s">
        <v>40</v>
      </c>
      <c r="C6" s="15">
        <v>142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5">
      <c r="A7" s="1"/>
      <c r="B7" s="13" t="s">
        <v>41</v>
      </c>
      <c r="C7" s="16">
        <v>126</v>
      </c>
      <c r="D7" s="1"/>
      <c r="E7" s="17">
        <f>C7/C6</f>
        <v>0.88732394366197187</v>
      </c>
      <c r="F7" s="5" t="s">
        <v>42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x14ac:dyDescent="0.25">
      <c r="A8" s="1"/>
      <c r="B8" s="1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x14ac:dyDescent="0.25">
      <c r="A9" s="1"/>
      <c r="B9" s="13"/>
      <c r="C9" s="13"/>
      <c r="D9" s="13"/>
      <c r="E9" s="69" t="s">
        <v>4</v>
      </c>
      <c r="F9" s="70"/>
      <c r="G9" s="70"/>
      <c r="H9" s="71"/>
      <c r="I9" s="5"/>
      <c r="J9" s="69" t="s">
        <v>43</v>
      </c>
      <c r="K9" s="70"/>
      <c r="L9" s="70"/>
      <c r="M9" s="71"/>
      <c r="N9" s="5"/>
      <c r="O9" s="69" t="s">
        <v>6</v>
      </c>
      <c r="P9" s="70"/>
      <c r="Q9" s="70"/>
      <c r="R9" s="71"/>
      <c r="S9" s="5"/>
      <c r="T9" s="69" t="s">
        <v>7</v>
      </c>
      <c r="U9" s="70"/>
      <c r="V9" s="70"/>
      <c r="W9" s="71"/>
      <c r="X9" s="1"/>
      <c r="Y9" s="69" t="s">
        <v>8</v>
      </c>
      <c r="Z9" s="70"/>
      <c r="AA9" s="70"/>
      <c r="AB9" s="71"/>
    </row>
    <row r="10" spans="1:28" ht="63" x14ac:dyDescent="0.25">
      <c r="A10" s="18"/>
      <c r="B10" s="19"/>
      <c r="C10" s="20" t="s">
        <v>44</v>
      </c>
      <c r="D10" s="19"/>
      <c r="E10" s="21" t="s">
        <v>45</v>
      </c>
      <c r="F10" s="21" t="s">
        <v>46</v>
      </c>
      <c r="G10" s="21" t="s">
        <v>47</v>
      </c>
      <c r="H10" s="21" t="s">
        <v>48</v>
      </c>
      <c r="I10" s="22"/>
      <c r="J10" s="21" t="s">
        <v>45</v>
      </c>
      <c r="K10" s="21" t="s">
        <v>46</v>
      </c>
      <c r="L10" s="21" t="s">
        <v>47</v>
      </c>
      <c r="M10" s="21" t="s">
        <v>48</v>
      </c>
      <c r="N10" s="22"/>
      <c r="O10" s="21" t="s">
        <v>45</v>
      </c>
      <c r="P10" s="21" t="s">
        <v>46</v>
      </c>
      <c r="Q10" s="21" t="s">
        <v>47</v>
      </c>
      <c r="R10" s="21" t="s">
        <v>48</v>
      </c>
      <c r="S10" s="22"/>
      <c r="T10" s="21" t="s">
        <v>45</v>
      </c>
      <c r="U10" s="21" t="s">
        <v>46</v>
      </c>
      <c r="V10" s="21" t="s">
        <v>47</v>
      </c>
      <c r="W10" s="21" t="s">
        <v>48</v>
      </c>
      <c r="X10" s="19"/>
      <c r="Y10" s="21" t="s">
        <v>45</v>
      </c>
      <c r="Z10" s="21" t="s">
        <v>46</v>
      </c>
      <c r="AA10" s="21" t="s">
        <v>47</v>
      </c>
      <c r="AB10" s="21" t="s">
        <v>48</v>
      </c>
    </row>
    <row r="11" spans="1:2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x14ac:dyDescent="0.25">
      <c r="A12" s="5" t="s">
        <v>49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x14ac:dyDescent="0.25">
      <c r="A13" s="5"/>
      <c r="B13" s="23" t="s">
        <v>50</v>
      </c>
      <c r="C13" s="1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x14ac:dyDescent="0.25">
      <c r="A14" s="5"/>
      <c r="B14" s="23" t="s">
        <v>51</v>
      </c>
      <c r="C14" s="24">
        <v>3100</v>
      </c>
      <c r="D14" s="1"/>
      <c r="E14" s="25">
        <v>0</v>
      </c>
      <c r="F14" s="25">
        <v>0</v>
      </c>
      <c r="G14" s="25">
        <v>0</v>
      </c>
      <c r="H14" s="17" t="str">
        <f>IF(G14=0,"%",F14/G14)</f>
        <v>%</v>
      </c>
      <c r="I14" s="25"/>
      <c r="J14" s="51">
        <v>0</v>
      </c>
      <c r="K14" s="51">
        <v>0</v>
      </c>
      <c r="L14" s="51">
        <v>0</v>
      </c>
      <c r="M14" s="17" t="str">
        <f>IF(L14=0,"%",K14/L14)</f>
        <v>%</v>
      </c>
      <c r="N14" s="25"/>
      <c r="O14" s="51">
        <v>0</v>
      </c>
      <c r="P14" s="51">
        <v>0</v>
      </c>
      <c r="Q14" s="51">
        <v>0</v>
      </c>
      <c r="R14" s="17" t="s">
        <v>52</v>
      </c>
      <c r="S14" s="25"/>
      <c r="T14" s="51">
        <v>0</v>
      </c>
      <c r="U14" s="51">
        <v>0</v>
      </c>
      <c r="V14" s="51">
        <v>0</v>
      </c>
      <c r="W14" s="17" t="str">
        <f>IF(V14=0,"%",U14/V14)</f>
        <v>%</v>
      </c>
      <c r="X14" s="25"/>
      <c r="Y14" s="51">
        <f>E14+J14+O14+T14</f>
        <v>0</v>
      </c>
      <c r="Z14" s="51">
        <f t="shared" ref="Z14:AA21" si="0">F14+K14+P14+U14</f>
        <v>0</v>
      </c>
      <c r="AA14" s="51">
        <f>G14+L14+Q14+V14</f>
        <v>0</v>
      </c>
      <c r="AB14" s="17" t="str">
        <f>IF(AA14=0,"%",Z14/AA14)</f>
        <v>%</v>
      </c>
    </row>
    <row r="15" spans="1:28" ht="15.75" x14ac:dyDescent="0.25">
      <c r="A15" s="5"/>
      <c r="B15" s="23" t="s">
        <v>53</v>
      </c>
      <c r="C15" s="26">
        <v>3200</v>
      </c>
      <c r="D15" s="1"/>
      <c r="E15" s="43"/>
      <c r="F15" s="43"/>
      <c r="G15" s="43"/>
      <c r="H15" s="17" t="str">
        <f>IF(G15=0,"",F15/G15)</f>
        <v/>
      </c>
      <c r="I15" s="12"/>
      <c r="J15" s="49">
        <f>'IS Current'!F7-'IS Previous'!F7</f>
        <v>0</v>
      </c>
      <c r="K15" s="49">
        <f>'IS Current'!F7</f>
        <v>0</v>
      </c>
      <c r="L15" s="49">
        <f>Budget!F7</f>
        <v>98132.51</v>
      </c>
      <c r="M15" s="17">
        <f>IF(L15=0,"",K15/L15)</f>
        <v>0</v>
      </c>
      <c r="N15" s="12"/>
      <c r="O15" s="49"/>
      <c r="P15" s="49"/>
      <c r="Q15" s="49"/>
      <c r="R15" s="17" t="s">
        <v>54</v>
      </c>
      <c r="S15" s="12"/>
      <c r="T15" s="49">
        <v>0</v>
      </c>
      <c r="U15" s="49">
        <v>0</v>
      </c>
      <c r="V15" s="49">
        <v>0</v>
      </c>
      <c r="W15" s="17" t="str">
        <f>IF(V15=0,"",U15/V15)</f>
        <v/>
      </c>
      <c r="X15" s="12"/>
      <c r="Y15" s="49">
        <f t="shared" ref="Y15:Y21" si="1">E15+J15+O15+T15</f>
        <v>0</v>
      </c>
      <c r="Z15" s="49">
        <f t="shared" si="0"/>
        <v>0</v>
      </c>
      <c r="AA15" s="49">
        <f t="shared" si="0"/>
        <v>98132.51</v>
      </c>
      <c r="AB15" s="17">
        <f>IF(AA15=0,"",Z15/AA15)</f>
        <v>0</v>
      </c>
    </row>
    <row r="16" spans="1:28" ht="15.75" x14ac:dyDescent="0.25">
      <c r="A16" s="5"/>
      <c r="B16" s="23" t="s">
        <v>55</v>
      </c>
      <c r="C16" s="24"/>
      <c r="D16" s="1"/>
      <c r="E16" s="43"/>
      <c r="F16" s="43"/>
      <c r="G16" s="43"/>
      <c r="H16" s="17"/>
      <c r="I16" s="12"/>
      <c r="J16" s="49"/>
      <c r="K16" s="49"/>
      <c r="L16" s="49"/>
      <c r="M16" s="17"/>
      <c r="N16" s="12"/>
      <c r="O16" s="49"/>
      <c r="P16" s="49"/>
      <c r="Q16" s="49"/>
      <c r="R16" s="17"/>
      <c r="S16" s="12"/>
      <c r="T16" s="49"/>
      <c r="U16" s="49"/>
      <c r="V16" s="49"/>
      <c r="W16" s="17"/>
      <c r="X16" s="12"/>
      <c r="Y16" s="49"/>
      <c r="Z16" s="49"/>
      <c r="AA16" s="49"/>
      <c r="AB16" s="17"/>
    </row>
    <row r="17" spans="1:28" ht="15.75" x14ac:dyDescent="0.25">
      <c r="A17" s="5"/>
      <c r="B17" s="23" t="s">
        <v>56</v>
      </c>
      <c r="C17" s="24">
        <v>3310</v>
      </c>
      <c r="D17" s="1"/>
      <c r="E17" s="43">
        <f>'IS Current'!F4-'IS Previous'!F4</f>
        <v>0</v>
      </c>
      <c r="F17" s="43">
        <f>'IS Current'!F4</f>
        <v>0</v>
      </c>
      <c r="G17" s="43">
        <f>Budget!F4</f>
        <v>963494</v>
      </c>
      <c r="H17" s="17">
        <f t="shared" ref="H17:H25" si="2">IF(G17=0,"",F17/G17)</f>
        <v>0</v>
      </c>
      <c r="I17" s="12"/>
      <c r="J17" s="49">
        <v>0</v>
      </c>
      <c r="K17" s="49">
        <v>0</v>
      </c>
      <c r="L17" s="49">
        <v>0</v>
      </c>
      <c r="M17" s="17" t="str">
        <f t="shared" ref="M17:M25" si="3">IF(L17=0,"",K17/L17)</f>
        <v/>
      </c>
      <c r="N17" s="12"/>
      <c r="O17" s="49"/>
      <c r="P17" s="49"/>
      <c r="Q17" s="49"/>
      <c r="R17" s="17" t="s">
        <v>54</v>
      </c>
      <c r="S17" s="12"/>
      <c r="T17" s="49">
        <v>0</v>
      </c>
      <c r="U17" s="49">
        <v>0</v>
      </c>
      <c r="V17" s="49">
        <v>0</v>
      </c>
      <c r="W17" s="17" t="str">
        <f t="shared" ref="W17:W25" si="4">IF(V17=0,"",U17/V17)</f>
        <v/>
      </c>
      <c r="X17" s="12"/>
      <c r="Y17" s="49">
        <f t="shared" si="1"/>
        <v>0</v>
      </c>
      <c r="Z17" s="49">
        <f t="shared" si="0"/>
        <v>0</v>
      </c>
      <c r="AA17" s="49">
        <f t="shared" si="0"/>
        <v>963494</v>
      </c>
      <c r="AB17" s="17">
        <f t="shared" ref="AB17:AB25" si="5">IF(AA17=0,"",Z17/AA17)</f>
        <v>0</v>
      </c>
    </row>
    <row r="18" spans="1:28" ht="15.75" x14ac:dyDescent="0.25">
      <c r="A18" s="5"/>
      <c r="B18" s="23" t="s">
        <v>57</v>
      </c>
      <c r="C18" s="24">
        <v>3397</v>
      </c>
      <c r="D18" s="1"/>
      <c r="E18" s="43"/>
      <c r="F18" s="43"/>
      <c r="G18" s="43"/>
      <c r="H18" s="17" t="str">
        <f t="shared" si="2"/>
        <v/>
      </c>
      <c r="I18" s="12"/>
      <c r="J18" s="49">
        <v>0</v>
      </c>
      <c r="K18" s="49">
        <v>0</v>
      </c>
      <c r="L18" s="49">
        <v>0</v>
      </c>
      <c r="M18" s="17" t="str">
        <f t="shared" si="3"/>
        <v/>
      </c>
      <c r="N18" s="12"/>
      <c r="O18" s="49"/>
      <c r="P18" s="49"/>
      <c r="Q18" s="49"/>
      <c r="R18" s="17" t="s">
        <v>54</v>
      </c>
      <c r="S18" s="12"/>
      <c r="T18" s="49">
        <f>'IS Current'!F9-'IS Previous'!F9</f>
        <v>0</v>
      </c>
      <c r="U18" s="49">
        <f>'IS Current'!F9</f>
        <v>0</v>
      </c>
      <c r="V18" s="49">
        <f>Budget!F10</f>
        <v>0</v>
      </c>
      <c r="W18" s="17" t="str">
        <f t="shared" si="4"/>
        <v/>
      </c>
      <c r="X18" s="12"/>
      <c r="Y18" s="49">
        <f t="shared" si="1"/>
        <v>0</v>
      </c>
      <c r="Z18" s="49">
        <f t="shared" si="0"/>
        <v>0</v>
      </c>
      <c r="AA18" s="49">
        <f t="shared" si="0"/>
        <v>0</v>
      </c>
      <c r="AB18" s="17" t="str">
        <f t="shared" si="5"/>
        <v/>
      </c>
    </row>
    <row r="19" spans="1:28" ht="15.75" x14ac:dyDescent="0.25">
      <c r="A19" s="5"/>
      <c r="B19" s="23" t="s">
        <v>58</v>
      </c>
      <c r="C19" s="24">
        <v>3355</v>
      </c>
      <c r="D19" s="1"/>
      <c r="E19" s="43">
        <f>'IS Current'!F5-'IS Previous'!F5</f>
        <v>0</v>
      </c>
      <c r="F19" s="43">
        <f>'IS Current'!F5</f>
        <v>0</v>
      </c>
      <c r="G19" s="43">
        <f>Budget!F5</f>
        <v>160349</v>
      </c>
      <c r="H19" s="17">
        <f t="shared" si="2"/>
        <v>0</v>
      </c>
      <c r="I19" s="12"/>
      <c r="J19" s="49">
        <v>0</v>
      </c>
      <c r="K19" s="49">
        <v>0</v>
      </c>
      <c r="L19" s="49">
        <v>0</v>
      </c>
      <c r="M19" s="17" t="str">
        <f t="shared" si="3"/>
        <v/>
      </c>
      <c r="N19" s="12"/>
      <c r="O19" s="49"/>
      <c r="P19" s="49"/>
      <c r="Q19" s="49"/>
      <c r="R19" s="17" t="s">
        <v>54</v>
      </c>
      <c r="S19" s="12"/>
      <c r="T19" s="49">
        <v>0</v>
      </c>
      <c r="U19" s="49">
        <v>0</v>
      </c>
      <c r="V19" s="49">
        <v>0</v>
      </c>
      <c r="W19" s="17" t="str">
        <f t="shared" si="4"/>
        <v/>
      </c>
      <c r="X19" s="12"/>
      <c r="Y19" s="49">
        <f t="shared" si="1"/>
        <v>0</v>
      </c>
      <c r="Z19" s="49">
        <f t="shared" si="0"/>
        <v>0</v>
      </c>
      <c r="AA19" s="49">
        <f t="shared" si="0"/>
        <v>160349</v>
      </c>
      <c r="AB19" s="17">
        <f t="shared" si="5"/>
        <v>0</v>
      </c>
    </row>
    <row r="20" spans="1:28" ht="15.75" x14ac:dyDescent="0.25">
      <c r="A20" s="5"/>
      <c r="B20" s="23" t="s">
        <v>59</v>
      </c>
      <c r="C20" s="24">
        <v>3361</v>
      </c>
      <c r="D20" s="1"/>
      <c r="E20" s="43"/>
      <c r="F20" s="43"/>
      <c r="G20" s="43"/>
      <c r="H20" s="17" t="str">
        <f t="shared" si="2"/>
        <v/>
      </c>
      <c r="I20" s="12"/>
      <c r="J20" s="49">
        <v>0</v>
      </c>
      <c r="K20" s="49">
        <v>0</v>
      </c>
      <c r="L20" s="49">
        <v>0</v>
      </c>
      <c r="M20" s="17" t="str">
        <f t="shared" si="3"/>
        <v/>
      </c>
      <c r="N20" s="12"/>
      <c r="O20" s="49"/>
      <c r="P20" s="49"/>
      <c r="Q20" s="49"/>
      <c r="R20" s="17" t="s">
        <v>54</v>
      </c>
      <c r="S20" s="12"/>
      <c r="T20" s="49">
        <v>0</v>
      </c>
      <c r="U20" s="49">
        <v>0</v>
      </c>
      <c r="V20" s="49">
        <v>0</v>
      </c>
      <c r="W20" s="17" t="str">
        <f t="shared" si="4"/>
        <v/>
      </c>
      <c r="X20" s="12"/>
      <c r="Y20" s="49">
        <f t="shared" si="1"/>
        <v>0</v>
      </c>
      <c r="Z20" s="49">
        <f t="shared" si="0"/>
        <v>0</v>
      </c>
      <c r="AA20" s="49">
        <f t="shared" si="0"/>
        <v>0</v>
      </c>
      <c r="AB20" s="17" t="str">
        <f t="shared" si="5"/>
        <v/>
      </c>
    </row>
    <row r="21" spans="1:28" ht="15.75" x14ac:dyDescent="0.25">
      <c r="A21" s="5"/>
      <c r="B21" s="23" t="s">
        <v>60</v>
      </c>
      <c r="C21" s="24" t="s">
        <v>61</v>
      </c>
      <c r="D21" s="1"/>
      <c r="E21" s="43"/>
      <c r="F21" s="43"/>
      <c r="G21" s="43"/>
      <c r="H21" s="17" t="str">
        <f t="shared" si="2"/>
        <v/>
      </c>
      <c r="I21" s="12"/>
      <c r="J21" s="49">
        <v>0</v>
      </c>
      <c r="K21" s="49">
        <v>0</v>
      </c>
      <c r="L21" s="49"/>
      <c r="M21" s="17" t="str">
        <f t="shared" si="3"/>
        <v/>
      </c>
      <c r="N21" s="12"/>
      <c r="O21" s="49"/>
      <c r="P21" s="49"/>
      <c r="Q21" s="49"/>
      <c r="R21" s="17" t="s">
        <v>54</v>
      </c>
      <c r="S21" s="12"/>
      <c r="T21" s="49">
        <v>0</v>
      </c>
      <c r="U21" s="49">
        <v>0</v>
      </c>
      <c r="V21" s="49">
        <v>0</v>
      </c>
      <c r="W21" s="17" t="str">
        <f t="shared" si="4"/>
        <v/>
      </c>
      <c r="X21" s="12"/>
      <c r="Y21" s="49">
        <f t="shared" si="1"/>
        <v>0</v>
      </c>
      <c r="Z21" s="49">
        <f t="shared" si="0"/>
        <v>0</v>
      </c>
      <c r="AA21" s="49">
        <f t="shared" si="0"/>
        <v>0</v>
      </c>
      <c r="AB21" s="17" t="str">
        <f t="shared" si="5"/>
        <v/>
      </c>
    </row>
    <row r="22" spans="1:28" ht="15.75" x14ac:dyDescent="0.25">
      <c r="A22" s="1"/>
      <c r="B22" s="23" t="s">
        <v>62</v>
      </c>
      <c r="C22" s="24"/>
      <c r="D22" s="1"/>
      <c r="E22" s="43"/>
      <c r="F22" s="43"/>
      <c r="G22" s="43"/>
      <c r="H22" s="17"/>
      <c r="I22" s="12"/>
      <c r="J22" s="49"/>
      <c r="K22" s="49"/>
      <c r="L22" s="49"/>
      <c r="M22" s="17"/>
      <c r="N22" s="12"/>
      <c r="O22" s="49"/>
      <c r="P22" s="49"/>
      <c r="Q22" s="49"/>
      <c r="R22" s="17"/>
      <c r="S22" s="12"/>
      <c r="T22" s="49"/>
      <c r="U22" s="49"/>
      <c r="V22" s="49"/>
      <c r="W22" s="17"/>
      <c r="X22" s="12"/>
      <c r="Y22" s="49"/>
      <c r="Z22" s="49"/>
      <c r="AA22" s="49"/>
      <c r="AB22" s="17"/>
    </row>
    <row r="23" spans="1:28" ht="15.75" x14ac:dyDescent="0.25">
      <c r="A23" s="1"/>
      <c r="B23" s="23" t="s">
        <v>63</v>
      </c>
      <c r="C23" s="24">
        <v>3430</v>
      </c>
      <c r="D23" s="1"/>
      <c r="E23" s="43"/>
      <c r="F23" s="43"/>
      <c r="G23" s="43"/>
      <c r="H23" s="17" t="str">
        <f t="shared" si="2"/>
        <v/>
      </c>
      <c r="I23" s="10"/>
      <c r="J23" s="49">
        <v>0</v>
      </c>
      <c r="K23" s="49">
        <v>0</v>
      </c>
      <c r="L23" s="49">
        <v>0</v>
      </c>
      <c r="M23" s="17" t="str">
        <f t="shared" si="3"/>
        <v/>
      </c>
      <c r="N23" s="10"/>
      <c r="O23" s="49"/>
      <c r="P23" s="49"/>
      <c r="Q23" s="49"/>
      <c r="R23" s="17" t="s">
        <v>54</v>
      </c>
      <c r="S23" s="10"/>
      <c r="T23" s="49">
        <v>0</v>
      </c>
      <c r="U23" s="49">
        <v>0</v>
      </c>
      <c r="V23" s="49">
        <v>0</v>
      </c>
      <c r="W23" s="17" t="str">
        <f t="shared" si="4"/>
        <v/>
      </c>
      <c r="X23" s="10"/>
      <c r="Y23" s="49">
        <f t="shared" ref="Y23:AA25" si="6">E23+J23+O23+T23</f>
        <v>0</v>
      </c>
      <c r="Z23" s="49">
        <f t="shared" si="6"/>
        <v>0</v>
      </c>
      <c r="AA23" s="49">
        <f t="shared" si="6"/>
        <v>0</v>
      </c>
      <c r="AB23" s="17" t="str">
        <f t="shared" si="5"/>
        <v/>
      </c>
    </row>
    <row r="24" spans="1:28" ht="15.75" x14ac:dyDescent="0.25">
      <c r="A24" s="1"/>
      <c r="B24" s="23" t="s">
        <v>64</v>
      </c>
      <c r="C24" s="24">
        <v>3413</v>
      </c>
      <c r="D24" s="1"/>
      <c r="E24" s="43"/>
      <c r="F24" s="43"/>
      <c r="G24" s="43"/>
      <c r="H24" s="17" t="str">
        <f t="shared" si="2"/>
        <v/>
      </c>
      <c r="I24" s="10"/>
      <c r="J24" s="49">
        <v>0</v>
      </c>
      <c r="K24" s="49">
        <v>0</v>
      </c>
      <c r="L24" s="49">
        <v>0</v>
      </c>
      <c r="M24" s="17" t="str">
        <f t="shared" si="3"/>
        <v/>
      </c>
      <c r="N24" s="10"/>
      <c r="O24" s="49"/>
      <c r="P24" s="49"/>
      <c r="Q24" s="49"/>
      <c r="R24" s="17" t="s">
        <v>54</v>
      </c>
      <c r="S24" s="10"/>
      <c r="T24" s="49">
        <f>'IS Current'!F10-'IS Previous'!F10</f>
        <v>0</v>
      </c>
      <c r="U24" s="49">
        <f>'IS Current'!F10</f>
        <v>0</v>
      </c>
      <c r="V24" s="49">
        <f>Budget!F9</f>
        <v>0</v>
      </c>
      <c r="W24" s="17" t="str">
        <f t="shared" si="4"/>
        <v/>
      </c>
      <c r="X24" s="10"/>
      <c r="Y24" s="49">
        <f t="shared" si="6"/>
        <v>0</v>
      </c>
      <c r="Z24" s="49">
        <f t="shared" si="6"/>
        <v>0</v>
      </c>
      <c r="AA24" s="49">
        <f t="shared" si="6"/>
        <v>0</v>
      </c>
      <c r="AB24" s="17" t="str">
        <f t="shared" si="5"/>
        <v/>
      </c>
    </row>
    <row r="25" spans="1:28" ht="15.75" x14ac:dyDescent="0.25">
      <c r="A25" s="1"/>
      <c r="B25" s="23" t="s">
        <v>65</v>
      </c>
      <c r="C25" s="24" t="s">
        <v>66</v>
      </c>
      <c r="D25" s="1"/>
      <c r="E25" s="43">
        <f>'IS Current'!F8-'IS Previous'!F8</f>
        <v>0</v>
      </c>
      <c r="F25" s="43">
        <f>'IS Current'!F8</f>
        <v>0</v>
      </c>
      <c r="G25" s="43">
        <f>Budget!F8</f>
        <v>322803.45</v>
      </c>
      <c r="H25" s="17">
        <f t="shared" si="2"/>
        <v>0</v>
      </c>
      <c r="I25" s="10"/>
      <c r="J25" s="49">
        <v>0</v>
      </c>
      <c r="K25" s="49"/>
      <c r="L25" s="49"/>
      <c r="M25" s="17" t="str">
        <f t="shared" si="3"/>
        <v/>
      </c>
      <c r="N25" s="10"/>
      <c r="O25" s="49">
        <f>+BS!F43-BS!H43</f>
        <v>65275</v>
      </c>
      <c r="P25" s="49">
        <f>+BS!F43</f>
        <v>65275</v>
      </c>
      <c r="Q25" s="49"/>
      <c r="R25" s="17" t="s">
        <v>54</v>
      </c>
      <c r="S25" s="10"/>
      <c r="T25" s="49">
        <v>0</v>
      </c>
      <c r="U25" s="49">
        <v>0</v>
      </c>
      <c r="V25" s="49">
        <v>0</v>
      </c>
      <c r="W25" s="17" t="str">
        <f t="shared" si="4"/>
        <v/>
      </c>
      <c r="X25" s="10"/>
      <c r="Y25" s="49">
        <f t="shared" si="6"/>
        <v>65275</v>
      </c>
      <c r="Z25" s="49">
        <f t="shared" si="6"/>
        <v>65275</v>
      </c>
      <c r="AA25" s="49">
        <f t="shared" si="6"/>
        <v>322803.45</v>
      </c>
      <c r="AB25" s="17">
        <f t="shared" si="5"/>
        <v>0.2022128326075821</v>
      </c>
    </row>
    <row r="26" spans="1:28" ht="15.75" x14ac:dyDescent="0.25">
      <c r="A26" s="5" t="s">
        <v>67</v>
      </c>
      <c r="B26" s="1"/>
      <c r="C26" s="1"/>
      <c r="D26" s="1"/>
      <c r="E26" s="44">
        <f>SUM(E14:E25)</f>
        <v>0</v>
      </c>
      <c r="F26" s="44">
        <f>SUM(F14:F25)</f>
        <v>0</v>
      </c>
      <c r="G26" s="44">
        <f>SUM(G14:G25)</f>
        <v>1446646.45</v>
      </c>
      <c r="H26" s="27">
        <f>IF(G26=0,"",F26/G26)</f>
        <v>0</v>
      </c>
      <c r="I26" s="10"/>
      <c r="J26" s="44">
        <f>SUM(J14:J25)</f>
        <v>0</v>
      </c>
      <c r="K26" s="44">
        <f>SUM(K14:K25)</f>
        <v>0</v>
      </c>
      <c r="L26" s="44">
        <f>SUM(L14:L25)</f>
        <v>98132.51</v>
      </c>
      <c r="M26" s="27">
        <f>IF(L26=0,"",K26/L26)</f>
        <v>0</v>
      </c>
      <c r="N26" s="10"/>
      <c r="O26" s="30">
        <f>SUM(O14:O25)</f>
        <v>65275</v>
      </c>
      <c r="P26" s="30">
        <f>SUM(P14:P25)</f>
        <v>65275</v>
      </c>
      <c r="Q26" s="30">
        <f>SUM(Q14:Q25)</f>
        <v>0</v>
      </c>
      <c r="R26" s="27" t="str">
        <f>IF(Q26=0,"",P26/Q26)</f>
        <v/>
      </c>
      <c r="S26" s="10"/>
      <c r="T26" s="44">
        <f>SUM(T14:T25)</f>
        <v>0</v>
      </c>
      <c r="U26" s="44">
        <f>SUM(U14:U25)</f>
        <v>0</v>
      </c>
      <c r="V26" s="44">
        <f>SUM(V14:V25)</f>
        <v>0</v>
      </c>
      <c r="W26" s="27" t="str">
        <f>IF(V26=0,"",U26/V26)</f>
        <v/>
      </c>
      <c r="X26" s="10"/>
      <c r="Y26" s="44">
        <f>SUM(Y14:Y25)</f>
        <v>65275</v>
      </c>
      <c r="Z26" s="44">
        <f>SUM(Z14:Z25)</f>
        <v>65275</v>
      </c>
      <c r="AA26" s="44">
        <f>SUM(AA14:AA25)</f>
        <v>1544778.96</v>
      </c>
      <c r="AB26" s="27">
        <f>IF(AA26=0,"",Z26/AA26)</f>
        <v>4.2255236309018604E-2</v>
      </c>
    </row>
    <row r="27" spans="1:28" ht="15.75" x14ac:dyDescent="0.25">
      <c r="A27" s="1"/>
      <c r="B27" s="1"/>
      <c r="C27" s="1"/>
      <c r="D27" s="1"/>
      <c r="E27" s="31"/>
      <c r="F27" s="31"/>
      <c r="G27" s="31"/>
      <c r="H27" s="17"/>
      <c r="I27" s="10"/>
      <c r="J27" s="31"/>
      <c r="K27" s="31"/>
      <c r="L27" s="31"/>
      <c r="M27" s="17"/>
      <c r="N27" s="10"/>
      <c r="O27" s="31"/>
      <c r="P27" s="31"/>
      <c r="Q27" s="31"/>
      <c r="R27" s="17"/>
      <c r="S27" s="10"/>
      <c r="T27" s="31"/>
      <c r="U27" s="31"/>
      <c r="V27" s="31"/>
      <c r="W27" s="17"/>
      <c r="X27" s="10"/>
      <c r="Y27" s="31"/>
      <c r="Z27" s="31"/>
      <c r="AA27" s="31"/>
      <c r="AB27" s="17"/>
    </row>
    <row r="28" spans="1:28" ht="15.75" x14ac:dyDescent="0.25">
      <c r="A28" s="5" t="s">
        <v>68</v>
      </c>
      <c r="B28" s="1"/>
      <c r="C28" s="1"/>
      <c r="D28" s="1"/>
      <c r="E28" s="31"/>
      <c r="F28" s="31"/>
      <c r="G28" s="31"/>
      <c r="H28" s="17"/>
      <c r="I28" s="10"/>
      <c r="J28" s="31"/>
      <c r="K28" s="31"/>
      <c r="L28" s="31"/>
      <c r="M28" s="17"/>
      <c r="N28" s="10"/>
      <c r="O28" s="31"/>
      <c r="P28" s="31"/>
      <c r="Q28" s="31"/>
      <c r="R28" s="17"/>
      <c r="S28" s="10"/>
      <c r="T28" s="31"/>
      <c r="U28" s="31"/>
      <c r="V28" s="31"/>
      <c r="W28" s="17"/>
      <c r="X28" s="10"/>
      <c r="Y28" s="31"/>
      <c r="Z28" s="31"/>
      <c r="AA28" s="31"/>
      <c r="AB28" s="17"/>
    </row>
    <row r="29" spans="1:28" ht="15.75" x14ac:dyDescent="0.25">
      <c r="A29" s="1" t="s">
        <v>69</v>
      </c>
      <c r="B29" s="1"/>
      <c r="C29" s="1"/>
      <c r="D29" s="1"/>
      <c r="E29" s="31"/>
      <c r="F29" s="31"/>
      <c r="G29" s="31"/>
      <c r="H29" s="17"/>
      <c r="I29" s="10"/>
      <c r="J29" s="31"/>
      <c r="K29" s="31"/>
      <c r="L29" s="31"/>
      <c r="M29" s="17"/>
      <c r="N29" s="10"/>
      <c r="O29" s="31"/>
      <c r="P29" s="31"/>
      <c r="Q29" s="31"/>
      <c r="R29" s="17"/>
      <c r="S29" s="10"/>
      <c r="T29" s="31"/>
      <c r="U29" s="31"/>
      <c r="V29" s="31"/>
      <c r="W29" s="17"/>
      <c r="X29" s="10"/>
      <c r="Y29" s="31"/>
      <c r="Z29" s="31"/>
      <c r="AA29" s="31"/>
      <c r="AB29" s="17"/>
    </row>
    <row r="30" spans="1:28" ht="15.75" x14ac:dyDescent="0.25">
      <c r="A30" s="1"/>
      <c r="B30" s="28" t="s">
        <v>70</v>
      </c>
      <c r="C30" s="24">
        <v>5000</v>
      </c>
      <c r="D30" s="28"/>
      <c r="E30" s="43">
        <f>'IS Current'!F15+'IS Current'!F16-'IS Previous'!F15-'IS Previous'!F16</f>
        <v>29803.56</v>
      </c>
      <c r="F30" s="43">
        <f>'IS Current'!F15+'IS Current'!F16</f>
        <v>29803.56</v>
      </c>
      <c r="G30" s="43">
        <f>Budget!F15+Budget!F16+Budget!F32+Budget!F33+Budget!F34-L44</f>
        <v>601111.01</v>
      </c>
      <c r="H30" s="17">
        <f t="shared" ref="H30:H43" si="7">IF(G30=0,"",F30/G30)</f>
        <v>4.9580792073663733E-2</v>
      </c>
      <c r="I30" s="10"/>
      <c r="J30" s="43">
        <f>'IS Current'!F29-'IS Previous'!F29</f>
        <v>0</v>
      </c>
      <c r="K30" s="43">
        <f>'IS Current'!F29</f>
        <v>0</v>
      </c>
      <c r="L30" s="43">
        <f>L15-L36-L31</f>
        <v>221.98999999999069</v>
      </c>
      <c r="M30" s="17">
        <f t="shared" ref="M30:M43" si="8">IF(L30=0,"",K30/L30)</f>
        <v>0</v>
      </c>
      <c r="N30" s="10"/>
      <c r="O30" s="43"/>
      <c r="P30" s="43"/>
      <c r="Q30" s="43"/>
      <c r="R30" s="17" t="s">
        <v>54</v>
      </c>
      <c r="S30" s="10"/>
      <c r="T30" s="43">
        <v>0</v>
      </c>
      <c r="U30" s="43">
        <v>0</v>
      </c>
      <c r="V30" s="43">
        <v>0</v>
      </c>
      <c r="W30" s="17" t="str">
        <f t="shared" ref="W30:W43" si="9">IF(V30=0,"",U30/V30)</f>
        <v/>
      </c>
      <c r="X30" s="10"/>
      <c r="Y30" s="43">
        <f t="shared" ref="Y30:AA43" si="10">E30+J30+O30+T30</f>
        <v>29803.56</v>
      </c>
      <c r="Z30" s="43">
        <f t="shared" si="10"/>
        <v>29803.56</v>
      </c>
      <c r="AA30" s="43">
        <f t="shared" si="10"/>
        <v>601333</v>
      </c>
      <c r="AB30" s="17">
        <f t="shared" ref="AB30:AB43" si="11">IF(AA30=0,"",Z30/AA30)</f>
        <v>4.9562488671002589E-2</v>
      </c>
    </row>
    <row r="31" spans="1:28" ht="15.75" x14ac:dyDescent="0.25">
      <c r="A31" s="1"/>
      <c r="B31" s="28" t="s">
        <v>71</v>
      </c>
      <c r="C31" s="24">
        <v>6000</v>
      </c>
      <c r="D31" s="28"/>
      <c r="E31" s="43">
        <f>'IS Current'!F17-'IS Previous'!F17</f>
        <v>0</v>
      </c>
      <c r="F31" s="43">
        <f>'IS Current'!F17</f>
        <v>0</v>
      </c>
      <c r="G31" s="43">
        <f>Budget!F17</f>
        <v>7164</v>
      </c>
      <c r="H31" s="17">
        <f t="shared" si="7"/>
        <v>0</v>
      </c>
      <c r="I31" s="10"/>
      <c r="J31" s="43">
        <f>'IS Current'!F30-'IS Previous'!F30</f>
        <v>0</v>
      </c>
      <c r="K31" s="43">
        <f>'IS Current'!F30</f>
        <v>0</v>
      </c>
      <c r="L31" s="43">
        <f>Budget!F33</f>
        <v>0</v>
      </c>
      <c r="M31" s="17" t="str">
        <f t="shared" si="8"/>
        <v/>
      </c>
      <c r="N31" s="10"/>
      <c r="O31" s="43"/>
      <c r="P31" s="43"/>
      <c r="Q31" s="43"/>
      <c r="R31" s="17" t="s">
        <v>54</v>
      </c>
      <c r="S31" s="10"/>
      <c r="T31" s="43">
        <v>0</v>
      </c>
      <c r="U31" s="43">
        <v>0</v>
      </c>
      <c r="V31" s="43">
        <v>0</v>
      </c>
      <c r="W31" s="17" t="str">
        <f t="shared" si="9"/>
        <v/>
      </c>
      <c r="X31" s="10"/>
      <c r="Y31" s="43">
        <f t="shared" si="10"/>
        <v>0</v>
      </c>
      <c r="Z31" s="43">
        <f t="shared" si="10"/>
        <v>0</v>
      </c>
      <c r="AA31" s="43">
        <f t="shared" si="10"/>
        <v>7164</v>
      </c>
      <c r="AB31" s="17">
        <f t="shared" si="11"/>
        <v>0</v>
      </c>
    </row>
    <row r="32" spans="1:28" ht="15.75" x14ac:dyDescent="0.25">
      <c r="A32" s="1"/>
      <c r="B32" s="28" t="s">
        <v>72</v>
      </c>
      <c r="C32" s="24">
        <v>7100</v>
      </c>
      <c r="D32" s="28"/>
      <c r="E32" s="43">
        <f>'IS Current'!F18-'IS Previous'!F18</f>
        <v>2655.83</v>
      </c>
      <c r="F32" s="43">
        <f>'IS Current'!F18</f>
        <v>2655.83</v>
      </c>
      <c r="G32" s="43">
        <f>Budget!F18</f>
        <v>12120</v>
      </c>
      <c r="H32" s="17">
        <f t="shared" si="7"/>
        <v>0.21912788778877887</v>
      </c>
      <c r="I32" s="10"/>
      <c r="J32" s="43">
        <v>0</v>
      </c>
      <c r="K32" s="43">
        <v>0</v>
      </c>
      <c r="L32" s="43">
        <v>0</v>
      </c>
      <c r="M32" s="17" t="str">
        <f t="shared" si="8"/>
        <v/>
      </c>
      <c r="N32" s="10"/>
      <c r="O32" s="43"/>
      <c r="P32" s="43"/>
      <c r="Q32" s="43"/>
      <c r="R32" s="17" t="s">
        <v>54</v>
      </c>
      <c r="S32" s="10"/>
      <c r="T32" s="43">
        <v>0</v>
      </c>
      <c r="U32" s="43">
        <v>0</v>
      </c>
      <c r="V32" s="43">
        <v>0</v>
      </c>
      <c r="W32" s="17" t="str">
        <f t="shared" si="9"/>
        <v/>
      </c>
      <c r="X32" s="10"/>
      <c r="Y32" s="43">
        <f t="shared" si="10"/>
        <v>2655.83</v>
      </c>
      <c r="Z32" s="43">
        <f t="shared" si="10"/>
        <v>2655.83</v>
      </c>
      <c r="AA32" s="43">
        <f t="shared" si="10"/>
        <v>12120</v>
      </c>
      <c r="AB32" s="17">
        <f t="shared" si="11"/>
        <v>0.21912788778877887</v>
      </c>
    </row>
    <row r="33" spans="1:28" ht="15.75" x14ac:dyDescent="0.25">
      <c r="A33" s="1"/>
      <c r="B33" s="28" t="s">
        <v>73</v>
      </c>
      <c r="C33" s="24">
        <v>7300</v>
      </c>
      <c r="D33" s="28"/>
      <c r="E33" s="43">
        <f>'IS Current'!F19-'IS Previous'!F19</f>
        <v>5831.04</v>
      </c>
      <c r="F33" s="43">
        <f>'IS Current'!F19</f>
        <v>5831.04</v>
      </c>
      <c r="G33" s="43">
        <f>Budget!F19</f>
        <v>152328</v>
      </c>
      <c r="H33" s="17">
        <f t="shared" si="7"/>
        <v>3.8279502126989128E-2</v>
      </c>
      <c r="I33" s="10"/>
      <c r="J33" s="43">
        <v>0</v>
      </c>
      <c r="K33" s="43">
        <v>0</v>
      </c>
      <c r="L33" s="43">
        <v>0</v>
      </c>
      <c r="M33" s="17" t="str">
        <f t="shared" si="8"/>
        <v/>
      </c>
      <c r="N33" s="10"/>
      <c r="O33" s="43"/>
      <c r="P33" s="43"/>
      <c r="Q33" s="43"/>
      <c r="R33" s="17" t="s">
        <v>54</v>
      </c>
      <c r="S33" s="10"/>
      <c r="T33" s="43">
        <v>0</v>
      </c>
      <c r="U33" s="43">
        <v>0</v>
      </c>
      <c r="V33" s="43">
        <v>0</v>
      </c>
      <c r="W33" s="17" t="str">
        <f t="shared" si="9"/>
        <v/>
      </c>
      <c r="X33" s="10"/>
      <c r="Y33" s="43">
        <f t="shared" si="10"/>
        <v>5831.04</v>
      </c>
      <c r="Z33" s="43">
        <f t="shared" si="10"/>
        <v>5831.04</v>
      </c>
      <c r="AA33" s="43">
        <f t="shared" si="10"/>
        <v>152328</v>
      </c>
      <c r="AB33" s="17">
        <f t="shared" si="11"/>
        <v>3.8279502126989128E-2</v>
      </c>
    </row>
    <row r="34" spans="1:28" ht="15.75" x14ac:dyDescent="0.25">
      <c r="A34" s="1"/>
      <c r="B34" s="28" t="s">
        <v>74</v>
      </c>
      <c r="C34" s="24">
        <v>7400</v>
      </c>
      <c r="D34" s="28"/>
      <c r="E34" s="43">
        <f>'IS Current'!F20-'IS Previous'!F20-T34</f>
        <v>0</v>
      </c>
      <c r="F34" s="43">
        <f>'IS Current'!F20-U34</f>
        <v>0</v>
      </c>
      <c r="G34" s="43"/>
      <c r="H34" s="17" t="str">
        <f t="shared" si="7"/>
        <v/>
      </c>
      <c r="I34" s="10"/>
      <c r="J34" s="43">
        <v>0</v>
      </c>
      <c r="K34" s="43">
        <v>0</v>
      </c>
      <c r="L34" s="43">
        <v>0</v>
      </c>
      <c r="M34" s="17" t="str">
        <f t="shared" si="8"/>
        <v/>
      </c>
      <c r="N34" s="10"/>
      <c r="O34" s="43"/>
      <c r="P34" s="43"/>
      <c r="Q34" s="43"/>
      <c r="R34" s="17" t="s">
        <v>54</v>
      </c>
      <c r="S34" s="10"/>
      <c r="T34" s="43">
        <f>T26</f>
        <v>0</v>
      </c>
      <c r="U34" s="43">
        <f>IF(V34&gt;U18,U26,U18)</f>
        <v>0</v>
      </c>
      <c r="V34" s="43">
        <f>V26</f>
        <v>0</v>
      </c>
      <c r="W34" s="17" t="str">
        <f t="shared" si="9"/>
        <v/>
      </c>
      <c r="X34" s="10"/>
      <c r="Y34" s="43">
        <f t="shared" si="10"/>
        <v>0</v>
      </c>
      <c r="Z34" s="43">
        <f t="shared" si="10"/>
        <v>0</v>
      </c>
      <c r="AA34" s="43">
        <f t="shared" si="10"/>
        <v>0</v>
      </c>
      <c r="AB34" s="17" t="str">
        <f t="shared" si="11"/>
        <v/>
      </c>
    </row>
    <row r="35" spans="1:28" ht="15.75" x14ac:dyDescent="0.25">
      <c r="A35" s="1"/>
      <c r="B35" s="28" t="s">
        <v>75</v>
      </c>
      <c r="C35" s="24">
        <v>7500</v>
      </c>
      <c r="D35" s="28"/>
      <c r="E35" s="43">
        <f>'IS Current'!F21-'IS Previous'!F21</f>
        <v>0</v>
      </c>
      <c r="F35" s="43">
        <f>'IS Current'!F21</f>
        <v>0</v>
      </c>
      <c r="G35" s="43">
        <f>Budget!F21</f>
        <v>223453.31</v>
      </c>
      <c r="H35" s="17">
        <f t="shared" si="7"/>
        <v>0</v>
      </c>
      <c r="I35" s="10"/>
      <c r="J35" s="43">
        <v>0</v>
      </c>
      <c r="K35" s="43">
        <v>0</v>
      </c>
      <c r="L35" s="43">
        <v>0</v>
      </c>
      <c r="M35" s="17" t="str">
        <f t="shared" si="8"/>
        <v/>
      </c>
      <c r="N35" s="10"/>
      <c r="O35" s="43"/>
      <c r="P35" s="43"/>
      <c r="Q35" s="43"/>
      <c r="R35" s="17" t="s">
        <v>54</v>
      </c>
      <c r="S35" s="10"/>
      <c r="T35" s="43">
        <v>0</v>
      </c>
      <c r="U35" s="43">
        <v>0</v>
      </c>
      <c r="V35" s="43">
        <v>0</v>
      </c>
      <c r="W35" s="17" t="str">
        <f t="shared" si="9"/>
        <v/>
      </c>
      <c r="X35" s="10"/>
      <c r="Y35" s="43">
        <f t="shared" si="10"/>
        <v>0</v>
      </c>
      <c r="Z35" s="43">
        <f t="shared" si="10"/>
        <v>0</v>
      </c>
      <c r="AA35" s="43">
        <f t="shared" si="10"/>
        <v>223453.31</v>
      </c>
      <c r="AB35" s="17">
        <f t="shared" si="11"/>
        <v>0</v>
      </c>
    </row>
    <row r="36" spans="1:28" ht="15.75" x14ac:dyDescent="0.25">
      <c r="A36" s="1"/>
      <c r="B36" s="28" t="s">
        <v>76</v>
      </c>
      <c r="C36" s="24">
        <v>7600</v>
      </c>
      <c r="D36" s="28"/>
      <c r="E36" s="43">
        <v>0</v>
      </c>
      <c r="F36" s="43">
        <v>0</v>
      </c>
      <c r="G36" s="43"/>
      <c r="H36" s="17" t="str">
        <f t="shared" si="7"/>
        <v/>
      </c>
      <c r="I36" s="10"/>
      <c r="J36" s="43">
        <f>'IS Current'!F22-'IS Previous'!F22</f>
        <v>0</v>
      </c>
      <c r="K36" s="43">
        <f>'IS Current'!F22</f>
        <v>0</v>
      </c>
      <c r="L36" s="43">
        <f>Budget!F34</f>
        <v>97910.52</v>
      </c>
      <c r="M36" s="17">
        <f t="shared" si="8"/>
        <v>0</v>
      </c>
      <c r="N36" s="10"/>
      <c r="O36" s="43"/>
      <c r="P36" s="43"/>
      <c r="Q36" s="43"/>
      <c r="R36" s="17" t="s">
        <v>54</v>
      </c>
      <c r="S36" s="10"/>
      <c r="T36" s="43">
        <v>0</v>
      </c>
      <c r="U36" s="43">
        <v>0</v>
      </c>
      <c r="V36" s="43">
        <v>0</v>
      </c>
      <c r="W36" s="17" t="str">
        <f t="shared" si="9"/>
        <v/>
      </c>
      <c r="X36" s="10"/>
      <c r="Y36" s="43">
        <f t="shared" si="10"/>
        <v>0</v>
      </c>
      <c r="Z36" s="43">
        <f t="shared" si="10"/>
        <v>0</v>
      </c>
      <c r="AA36" s="43">
        <f t="shared" si="10"/>
        <v>97910.52</v>
      </c>
      <c r="AB36" s="17">
        <f t="shared" si="11"/>
        <v>0</v>
      </c>
    </row>
    <row r="37" spans="1:28" ht="15.75" x14ac:dyDescent="0.25">
      <c r="A37" s="1"/>
      <c r="B37" s="28" t="s">
        <v>77</v>
      </c>
      <c r="C37" s="24">
        <v>7700</v>
      </c>
      <c r="D37" s="28"/>
      <c r="E37" s="43">
        <f>'IS Current'!F23-'IS Previous'!F23</f>
        <v>5275</v>
      </c>
      <c r="F37" s="43">
        <f>'IS Current'!F23</f>
        <v>5275</v>
      </c>
      <c r="G37" s="43">
        <f>Budget!F22</f>
        <v>0</v>
      </c>
      <c r="H37" s="17" t="str">
        <f t="shared" si="7"/>
        <v/>
      </c>
      <c r="I37" s="10"/>
      <c r="J37" s="43">
        <v>0</v>
      </c>
      <c r="K37" s="43">
        <v>0</v>
      </c>
      <c r="L37" s="43">
        <v>0</v>
      </c>
      <c r="M37" s="17" t="str">
        <f t="shared" si="8"/>
        <v/>
      </c>
      <c r="N37" s="10"/>
      <c r="O37" s="43"/>
      <c r="P37" s="43"/>
      <c r="Q37" s="43"/>
      <c r="R37" s="17" t="s">
        <v>54</v>
      </c>
      <c r="S37" s="10"/>
      <c r="T37" s="43">
        <v>0</v>
      </c>
      <c r="U37" s="43">
        <v>0</v>
      </c>
      <c r="V37" s="43">
        <v>0</v>
      </c>
      <c r="W37" s="17" t="str">
        <f t="shared" si="9"/>
        <v/>
      </c>
      <c r="X37" s="10"/>
      <c r="Y37" s="43">
        <f t="shared" si="10"/>
        <v>5275</v>
      </c>
      <c r="Z37" s="43">
        <f t="shared" si="10"/>
        <v>5275</v>
      </c>
      <c r="AA37" s="43">
        <f t="shared" si="10"/>
        <v>0</v>
      </c>
      <c r="AB37" s="17" t="str">
        <f t="shared" si="11"/>
        <v/>
      </c>
    </row>
    <row r="38" spans="1:28" ht="15.75" x14ac:dyDescent="0.25">
      <c r="A38" s="1"/>
      <c r="B38" s="28" t="s">
        <v>78</v>
      </c>
      <c r="C38" s="24">
        <v>7800</v>
      </c>
      <c r="D38" s="28"/>
      <c r="E38" s="43">
        <f>'IS Current'!F24-'IS Previous'!F24</f>
        <v>0</v>
      </c>
      <c r="F38" s="43">
        <f>'IS Current'!F24</f>
        <v>0</v>
      </c>
      <c r="G38" s="43">
        <f>Budget!F23</f>
        <v>25920</v>
      </c>
      <c r="H38" s="17">
        <f t="shared" si="7"/>
        <v>0</v>
      </c>
      <c r="I38" s="10"/>
      <c r="J38" s="43">
        <v>0</v>
      </c>
      <c r="K38" s="43">
        <v>0</v>
      </c>
      <c r="L38" s="43">
        <v>0</v>
      </c>
      <c r="M38" s="17" t="str">
        <f t="shared" si="8"/>
        <v/>
      </c>
      <c r="N38" s="10"/>
      <c r="O38" s="43"/>
      <c r="P38" s="43"/>
      <c r="Q38" s="43"/>
      <c r="R38" s="17" t="s">
        <v>54</v>
      </c>
      <c r="S38" s="10"/>
      <c r="T38" s="43">
        <v>0</v>
      </c>
      <c r="U38" s="43">
        <v>0</v>
      </c>
      <c r="V38" s="43">
        <v>0</v>
      </c>
      <c r="W38" s="17" t="str">
        <f t="shared" si="9"/>
        <v/>
      </c>
      <c r="X38" s="10"/>
      <c r="Y38" s="43">
        <f t="shared" si="10"/>
        <v>0</v>
      </c>
      <c r="Z38" s="43">
        <f t="shared" si="10"/>
        <v>0</v>
      </c>
      <c r="AA38" s="43">
        <f t="shared" si="10"/>
        <v>25920</v>
      </c>
      <c r="AB38" s="17">
        <f t="shared" si="11"/>
        <v>0</v>
      </c>
    </row>
    <row r="39" spans="1:28" ht="15.75" x14ac:dyDescent="0.25">
      <c r="A39" s="1"/>
      <c r="B39" s="28" t="s">
        <v>79</v>
      </c>
      <c r="C39" s="24">
        <v>7900</v>
      </c>
      <c r="D39" s="28"/>
      <c r="E39" s="43">
        <f>'IS Current'!F25-'IS Previous'!F25</f>
        <v>50</v>
      </c>
      <c r="F39" s="43">
        <f>'IS Current'!F25</f>
        <v>50</v>
      </c>
      <c r="G39" s="43">
        <f>Budget!F24</f>
        <v>133200</v>
      </c>
      <c r="H39" s="17">
        <f t="shared" si="7"/>
        <v>3.7537537537537537E-4</v>
      </c>
      <c r="I39" s="10"/>
      <c r="J39" s="43">
        <v>0</v>
      </c>
      <c r="K39" s="43">
        <v>0</v>
      </c>
      <c r="L39" s="43">
        <v>0</v>
      </c>
      <c r="M39" s="17" t="str">
        <f t="shared" si="8"/>
        <v/>
      </c>
      <c r="N39" s="10"/>
      <c r="O39" s="43"/>
      <c r="P39" s="43"/>
      <c r="Q39" s="43"/>
      <c r="R39" s="17" t="s">
        <v>54</v>
      </c>
      <c r="S39" s="10"/>
      <c r="T39" s="43">
        <v>0</v>
      </c>
      <c r="U39" s="43">
        <v>0</v>
      </c>
      <c r="V39" s="43">
        <v>0</v>
      </c>
      <c r="W39" s="17" t="str">
        <f t="shared" si="9"/>
        <v/>
      </c>
      <c r="X39" s="10"/>
      <c r="Y39" s="43">
        <f t="shared" si="10"/>
        <v>50</v>
      </c>
      <c r="Z39" s="43">
        <f t="shared" si="10"/>
        <v>50</v>
      </c>
      <c r="AA39" s="43">
        <f t="shared" si="10"/>
        <v>133200</v>
      </c>
      <c r="AB39" s="17">
        <f t="shared" si="11"/>
        <v>3.7537537537537537E-4</v>
      </c>
    </row>
    <row r="40" spans="1:28" ht="15.75" x14ac:dyDescent="0.25">
      <c r="A40" s="1"/>
      <c r="B40" s="28" t="s">
        <v>80</v>
      </c>
      <c r="C40" s="24">
        <v>8100</v>
      </c>
      <c r="D40" s="28"/>
      <c r="E40" s="43">
        <f>'IS Current'!F26-'IS Previous'!F26</f>
        <v>0</v>
      </c>
      <c r="F40" s="43">
        <f>'IS Current'!F26</f>
        <v>0</v>
      </c>
      <c r="G40" s="43">
        <f>Budget!F25</f>
        <v>9000</v>
      </c>
      <c r="H40" s="17">
        <f t="shared" si="7"/>
        <v>0</v>
      </c>
      <c r="I40" s="10"/>
      <c r="J40" s="43">
        <v>0</v>
      </c>
      <c r="K40" s="43">
        <v>0</v>
      </c>
      <c r="L40" s="43">
        <v>0</v>
      </c>
      <c r="M40" s="17" t="str">
        <f t="shared" si="8"/>
        <v/>
      </c>
      <c r="N40" s="10"/>
      <c r="O40" s="43"/>
      <c r="P40" s="43"/>
      <c r="Q40" s="43"/>
      <c r="R40" s="17" t="s">
        <v>54</v>
      </c>
      <c r="S40" s="10"/>
      <c r="T40" s="43">
        <v>0</v>
      </c>
      <c r="U40" s="43">
        <v>0</v>
      </c>
      <c r="V40" s="43">
        <v>0</v>
      </c>
      <c r="W40" s="17" t="str">
        <f t="shared" si="9"/>
        <v/>
      </c>
      <c r="X40" s="10"/>
      <c r="Y40" s="43">
        <f t="shared" si="10"/>
        <v>0</v>
      </c>
      <c r="Z40" s="43">
        <f t="shared" si="10"/>
        <v>0</v>
      </c>
      <c r="AA40" s="43">
        <f t="shared" si="10"/>
        <v>9000</v>
      </c>
      <c r="AB40" s="17">
        <f t="shared" si="11"/>
        <v>0</v>
      </c>
    </row>
    <row r="41" spans="1:28" ht="15.75" x14ac:dyDescent="0.25">
      <c r="A41" s="1"/>
      <c r="B41" s="28" t="s">
        <v>81</v>
      </c>
      <c r="C41" s="24">
        <v>8200</v>
      </c>
      <c r="D41" s="28"/>
      <c r="E41" s="43">
        <f>'IS Current'!F27-'IS Previous'!F27</f>
        <v>0</v>
      </c>
      <c r="F41" s="43">
        <f>'IS Current'!F27</f>
        <v>0</v>
      </c>
      <c r="G41" s="43">
        <f>Budget!F26</f>
        <v>2800</v>
      </c>
      <c r="H41" s="17">
        <f t="shared" si="7"/>
        <v>0</v>
      </c>
      <c r="I41" s="10"/>
      <c r="J41" s="43">
        <v>0</v>
      </c>
      <c r="K41" s="43">
        <v>0</v>
      </c>
      <c r="L41" s="43">
        <v>0</v>
      </c>
      <c r="M41" s="17" t="str">
        <f t="shared" si="8"/>
        <v/>
      </c>
      <c r="N41" s="10"/>
      <c r="O41" s="43"/>
      <c r="P41" s="43"/>
      <c r="Q41" s="43"/>
      <c r="R41" s="17" t="s">
        <v>54</v>
      </c>
      <c r="S41" s="10"/>
      <c r="T41" s="43">
        <v>0</v>
      </c>
      <c r="U41" s="43">
        <v>0</v>
      </c>
      <c r="V41" s="43">
        <v>0</v>
      </c>
      <c r="W41" s="17" t="str">
        <f t="shared" si="9"/>
        <v/>
      </c>
      <c r="X41" s="10"/>
      <c r="Y41" s="43">
        <f t="shared" si="10"/>
        <v>0</v>
      </c>
      <c r="Z41" s="43">
        <f t="shared" si="10"/>
        <v>0</v>
      </c>
      <c r="AA41" s="43">
        <f t="shared" si="10"/>
        <v>2800</v>
      </c>
      <c r="AB41" s="17">
        <f t="shared" si="11"/>
        <v>0</v>
      </c>
    </row>
    <row r="42" spans="1:28" ht="15.75" x14ac:dyDescent="0.25">
      <c r="A42" s="1"/>
      <c r="B42" s="28" t="s">
        <v>82</v>
      </c>
      <c r="C42" s="24">
        <v>9100</v>
      </c>
      <c r="D42" s="28"/>
      <c r="E42" s="43"/>
      <c r="F42" s="43"/>
      <c r="G42" s="43"/>
      <c r="H42" s="17" t="str">
        <f t="shared" si="7"/>
        <v/>
      </c>
      <c r="I42" s="10"/>
      <c r="J42" s="43">
        <v>0</v>
      </c>
      <c r="K42" s="43">
        <v>0</v>
      </c>
      <c r="L42" s="43">
        <f>Budget!F35</f>
        <v>0</v>
      </c>
      <c r="M42" s="17" t="str">
        <f t="shared" si="8"/>
        <v/>
      </c>
      <c r="N42" s="10"/>
      <c r="O42" s="43"/>
      <c r="P42" s="43"/>
      <c r="Q42" s="43"/>
      <c r="R42" s="17" t="s">
        <v>54</v>
      </c>
      <c r="S42" s="10"/>
      <c r="T42" s="43">
        <v>0</v>
      </c>
      <c r="U42" s="43">
        <v>0</v>
      </c>
      <c r="V42" s="43">
        <v>0</v>
      </c>
      <c r="W42" s="17" t="str">
        <f t="shared" si="9"/>
        <v/>
      </c>
      <c r="X42" s="10"/>
      <c r="Y42" s="43">
        <f t="shared" si="10"/>
        <v>0</v>
      </c>
      <c r="Z42" s="43">
        <f t="shared" si="10"/>
        <v>0</v>
      </c>
      <c r="AA42" s="43">
        <f t="shared" si="10"/>
        <v>0</v>
      </c>
      <c r="AB42" s="17" t="str">
        <f t="shared" si="11"/>
        <v/>
      </c>
    </row>
    <row r="43" spans="1:28" ht="15.75" x14ac:dyDescent="0.25">
      <c r="A43" s="1"/>
      <c r="B43" s="28" t="s">
        <v>83</v>
      </c>
      <c r="C43" s="24">
        <v>9200</v>
      </c>
      <c r="D43" s="28"/>
      <c r="E43" s="43"/>
      <c r="F43" s="43"/>
      <c r="G43" s="43"/>
      <c r="H43" s="17" t="str">
        <f t="shared" si="7"/>
        <v/>
      </c>
      <c r="I43" s="10"/>
      <c r="J43" s="43">
        <v>0</v>
      </c>
      <c r="K43" s="43">
        <v>0</v>
      </c>
      <c r="L43" s="43">
        <v>0</v>
      </c>
      <c r="M43" s="17" t="str">
        <f t="shared" si="8"/>
        <v/>
      </c>
      <c r="N43" s="10"/>
      <c r="O43" s="43">
        <f>+'IS Current'!F28-'IS Previous'!F28</f>
        <v>0</v>
      </c>
      <c r="P43" s="43">
        <f>+'IS Current'!F28</f>
        <v>0</v>
      </c>
      <c r="Q43" s="43">
        <f>Budget!F20-V34</f>
        <v>264000</v>
      </c>
      <c r="R43" s="17" t="s">
        <v>54</v>
      </c>
      <c r="S43" s="10"/>
      <c r="T43" s="43">
        <v>0</v>
      </c>
      <c r="U43" s="43">
        <v>0</v>
      </c>
      <c r="V43" s="43">
        <v>0</v>
      </c>
      <c r="W43" s="17" t="str">
        <f t="shared" si="9"/>
        <v/>
      </c>
      <c r="X43" s="10"/>
      <c r="Y43" s="43">
        <f t="shared" si="10"/>
        <v>0</v>
      </c>
      <c r="Z43" s="43">
        <f t="shared" si="10"/>
        <v>0</v>
      </c>
      <c r="AA43" s="43">
        <f t="shared" si="10"/>
        <v>264000</v>
      </c>
      <c r="AB43" s="17">
        <f t="shared" si="11"/>
        <v>0</v>
      </c>
    </row>
    <row r="44" spans="1:28" ht="15.75" x14ac:dyDescent="0.25">
      <c r="A44" s="5" t="s">
        <v>84</v>
      </c>
      <c r="B44" s="1"/>
      <c r="C44" s="1"/>
      <c r="D44" s="1"/>
      <c r="E44" s="44">
        <f>SUM(E30:E43)</f>
        <v>43615.43</v>
      </c>
      <c r="F44" s="44">
        <f>SUM(F30:F43)</f>
        <v>43615.43</v>
      </c>
      <c r="G44" s="44">
        <f>SUM(G30:G43)</f>
        <v>1167096.3200000001</v>
      </c>
      <c r="H44" s="27">
        <f>IF(G44=0,"",F44/G44)</f>
        <v>3.737089154732319E-2</v>
      </c>
      <c r="I44" s="10"/>
      <c r="J44" s="44">
        <f>SUM(J30:J43)</f>
        <v>0</v>
      </c>
      <c r="K44" s="44">
        <f>SUM(K30:K43)</f>
        <v>0</v>
      </c>
      <c r="L44" s="44">
        <f>SUM(L30:L43)</f>
        <v>98132.51</v>
      </c>
      <c r="M44" s="27">
        <f>IF(L44=0,"",K44/L44)</f>
        <v>0</v>
      </c>
      <c r="N44" s="10"/>
      <c r="O44" s="44">
        <f>SUM(O30:O43)</f>
        <v>0</v>
      </c>
      <c r="P44" s="44">
        <f>SUM(P30:P43)</f>
        <v>0</v>
      </c>
      <c r="Q44" s="44">
        <f>SUM(Q30:Q43)</f>
        <v>264000</v>
      </c>
      <c r="R44" s="27">
        <f>IF(Q44=0,"",P44/Q44)</f>
        <v>0</v>
      </c>
      <c r="S44" s="10"/>
      <c r="T44" s="44">
        <f>SUM(T30:T43)</f>
        <v>0</v>
      </c>
      <c r="U44" s="44">
        <f>SUM(U30:U43)</f>
        <v>0</v>
      </c>
      <c r="V44" s="44">
        <f>SUM(V30:V43)</f>
        <v>0</v>
      </c>
      <c r="W44" s="27" t="str">
        <f>IF(V44=0,"",U44/V44)</f>
        <v/>
      </c>
      <c r="X44" s="10"/>
      <c r="Y44" s="44">
        <f>SUM(Y30:Y43)</f>
        <v>43615.43</v>
      </c>
      <c r="Z44" s="44">
        <f>SUM(Z30:Z43)</f>
        <v>43615.43</v>
      </c>
      <c r="AA44" s="44">
        <f>SUM(AA30:AA43)</f>
        <v>1529228.83</v>
      </c>
      <c r="AB44" s="27">
        <f>IF(AA44=0,"",Z44/AA44)</f>
        <v>2.8521192606602897E-2</v>
      </c>
    </row>
    <row r="45" spans="1:28" ht="15.75" x14ac:dyDescent="0.25">
      <c r="A45" s="5" t="s">
        <v>85</v>
      </c>
      <c r="B45" s="1"/>
      <c r="C45" s="1"/>
      <c r="D45" s="1"/>
      <c r="E45" s="45">
        <f>E26-E44</f>
        <v>-43615.43</v>
      </c>
      <c r="F45" s="45">
        <f>F26-F44</f>
        <v>-43615.43</v>
      </c>
      <c r="G45" s="45">
        <f>G26-G44</f>
        <v>279550.12999999989</v>
      </c>
      <c r="H45" s="27">
        <f>IF(G45=0,"",F45/G45)</f>
        <v>-0.15602006695543308</v>
      </c>
      <c r="I45" s="10"/>
      <c r="J45" s="45">
        <f>J26-J44</f>
        <v>0</v>
      </c>
      <c r="K45" s="45">
        <f>K26-K44</f>
        <v>0</v>
      </c>
      <c r="L45" s="45">
        <f>L26-L44</f>
        <v>0</v>
      </c>
      <c r="M45" s="27" t="str">
        <f>IF(L45=0,"",K45/L45)</f>
        <v/>
      </c>
      <c r="N45" s="10"/>
      <c r="O45" s="45">
        <f>O26-O44</f>
        <v>65275</v>
      </c>
      <c r="P45" s="45">
        <f>P26-P44</f>
        <v>65275</v>
      </c>
      <c r="Q45" s="45">
        <f>Q26-Q44</f>
        <v>-264000</v>
      </c>
      <c r="R45" s="27">
        <f>IF(Q45=0,"",P45/Q45)</f>
        <v>-0.24725378787878788</v>
      </c>
      <c r="S45" s="10"/>
      <c r="T45" s="45">
        <f>T26-T44</f>
        <v>0</v>
      </c>
      <c r="U45" s="45">
        <f>U26-U44</f>
        <v>0</v>
      </c>
      <c r="V45" s="45">
        <f>V26-V44</f>
        <v>0</v>
      </c>
      <c r="W45" s="27" t="str">
        <f>IF(V45=0,"",U45/V45)</f>
        <v/>
      </c>
      <c r="X45" s="10"/>
      <c r="Y45" s="45">
        <f>Y26-Y44</f>
        <v>21659.57</v>
      </c>
      <c r="Z45" s="45">
        <f>Z26-Z44</f>
        <v>21659.57</v>
      </c>
      <c r="AA45" s="45">
        <f>AA26-AA44</f>
        <v>15550.129999999888</v>
      </c>
      <c r="AB45" s="27">
        <f>IF(AA45=0,"",Z45/AA45)</f>
        <v>1.392886747570609</v>
      </c>
    </row>
    <row r="46" spans="1:28" ht="15.75" x14ac:dyDescent="0.25">
      <c r="A46" s="1"/>
      <c r="B46" s="1"/>
      <c r="C46" s="1"/>
      <c r="D46" s="1"/>
      <c r="E46" s="31"/>
      <c r="F46" s="31"/>
      <c r="G46" s="31"/>
      <c r="H46" s="17"/>
      <c r="I46" s="10"/>
      <c r="J46" s="31"/>
      <c r="K46" s="31"/>
      <c r="L46" s="31"/>
      <c r="M46" s="17"/>
      <c r="N46" s="10"/>
      <c r="O46" s="31"/>
      <c r="P46" s="31"/>
      <c r="Q46" s="31"/>
      <c r="R46" s="17"/>
      <c r="S46" s="10"/>
      <c r="T46" s="31"/>
      <c r="U46" s="31"/>
      <c r="V46" s="31"/>
      <c r="W46" s="17"/>
      <c r="X46" s="10"/>
      <c r="Y46" s="31"/>
      <c r="Z46" s="31"/>
      <c r="AA46" s="31"/>
      <c r="AB46" s="17"/>
    </row>
    <row r="47" spans="1:28" ht="15.75" x14ac:dyDescent="0.25">
      <c r="A47" s="5" t="s">
        <v>86</v>
      </c>
      <c r="B47" s="1"/>
      <c r="C47" s="1"/>
      <c r="D47" s="1"/>
      <c r="E47" s="31"/>
      <c r="F47" s="31"/>
      <c r="G47" s="31"/>
      <c r="H47" s="17"/>
      <c r="I47" s="10"/>
      <c r="J47" s="31"/>
      <c r="K47" s="31"/>
      <c r="L47" s="31"/>
      <c r="M47" s="17"/>
      <c r="N47" s="10"/>
      <c r="O47" s="31"/>
      <c r="P47" s="31"/>
      <c r="Q47" s="31"/>
      <c r="R47" s="17"/>
      <c r="S47" s="10"/>
      <c r="T47" s="31"/>
      <c r="U47" s="31"/>
      <c r="V47" s="31"/>
      <c r="W47" s="17"/>
      <c r="X47" s="10"/>
      <c r="Y47" s="31"/>
      <c r="Z47" s="31"/>
      <c r="AA47" s="31"/>
      <c r="AB47" s="17"/>
    </row>
    <row r="48" spans="1:28" ht="15.75" x14ac:dyDescent="0.25">
      <c r="A48" s="1" t="s">
        <v>87</v>
      </c>
      <c r="B48" s="1"/>
      <c r="C48" s="8">
        <v>3600</v>
      </c>
      <c r="D48" s="1"/>
      <c r="E48" s="43">
        <f>-J49-O49-T49</f>
        <v>65275</v>
      </c>
      <c r="F48" s="43">
        <f>-K49-P49-U49</f>
        <v>65275</v>
      </c>
      <c r="G48" s="43"/>
      <c r="H48" s="17" t="str">
        <f>IF(G48=0,"",F48/G48)</f>
        <v/>
      </c>
      <c r="I48" s="10"/>
      <c r="J48" s="49">
        <f>-J45</f>
        <v>0</v>
      </c>
      <c r="K48" s="49">
        <f>-K45</f>
        <v>0</v>
      </c>
      <c r="L48" s="49">
        <v>0</v>
      </c>
      <c r="M48" s="17" t="str">
        <f>IF(L48=0,"",K48/L48)</f>
        <v/>
      </c>
      <c r="N48" s="10"/>
      <c r="O48" s="49">
        <f>IF(O45&gt;0,0,-O45)</f>
        <v>0</v>
      </c>
      <c r="P48" s="49">
        <f>IF(P45&gt;0,0,-P45)</f>
        <v>0</v>
      </c>
      <c r="Q48" s="49"/>
      <c r="R48" s="17" t="s">
        <v>54</v>
      </c>
      <c r="S48" s="10"/>
      <c r="T48" s="49">
        <f>IF(T45&lt;0,-T45,0)</f>
        <v>0</v>
      </c>
      <c r="U48" s="49">
        <f>IF(U45&lt;0,-U45,0)</f>
        <v>0</v>
      </c>
      <c r="V48" s="49">
        <v>0</v>
      </c>
      <c r="W48" s="17" t="str">
        <f>IF(V48=0,"",U48/V48)</f>
        <v/>
      </c>
      <c r="X48" s="10"/>
      <c r="Y48" s="49">
        <f t="shared" ref="Y48:AA49" si="12">E48+J48+O48+T48</f>
        <v>65275</v>
      </c>
      <c r="Z48" s="49">
        <f t="shared" si="12"/>
        <v>65275</v>
      </c>
      <c r="AA48" s="49">
        <f t="shared" si="12"/>
        <v>0</v>
      </c>
      <c r="AB48" s="17" t="str">
        <f>IF(AA48=0,"",Z48/AA48)</f>
        <v/>
      </c>
    </row>
    <row r="49" spans="1:28" ht="15.75" x14ac:dyDescent="0.25">
      <c r="A49" s="1" t="s">
        <v>88</v>
      </c>
      <c r="B49" s="1"/>
      <c r="C49" s="8">
        <v>9700</v>
      </c>
      <c r="D49" s="1"/>
      <c r="E49" s="43">
        <f>-J48-O48-T48</f>
        <v>0</v>
      </c>
      <c r="F49" s="43">
        <f>-K48-P48-U48</f>
        <v>0</v>
      </c>
      <c r="G49" s="43">
        <f>-V48-L48</f>
        <v>0</v>
      </c>
      <c r="H49" s="17" t="str">
        <f>IF(G49=0,"",F49/G49)</f>
        <v/>
      </c>
      <c r="I49" s="10"/>
      <c r="J49" s="49"/>
      <c r="K49" s="49"/>
      <c r="L49" s="49"/>
      <c r="M49" s="17" t="str">
        <f>IF(L49=0,"",K49/L49)</f>
        <v/>
      </c>
      <c r="N49" s="10"/>
      <c r="O49" s="49">
        <f>IF(O45&lt;0,0,-O45)</f>
        <v>-65275</v>
      </c>
      <c r="P49" s="49">
        <f>IF(P45&lt;0,0,-P45)</f>
        <v>-65275</v>
      </c>
      <c r="Q49" s="49"/>
      <c r="R49" s="17" t="s">
        <v>54</v>
      </c>
      <c r="S49" s="10"/>
      <c r="T49" s="49">
        <f>IF(T45&gt;0,T45,0)</f>
        <v>0</v>
      </c>
      <c r="U49" s="49">
        <f>IF(U45&gt;0,U45,0)</f>
        <v>0</v>
      </c>
      <c r="V49" s="49">
        <v>0</v>
      </c>
      <c r="W49" s="17" t="str">
        <f>IF(V49=0,"",U49/V49)</f>
        <v/>
      </c>
      <c r="X49" s="10"/>
      <c r="Y49" s="49">
        <f t="shared" si="12"/>
        <v>-65275</v>
      </c>
      <c r="Z49" s="49">
        <f t="shared" si="12"/>
        <v>-65275</v>
      </c>
      <c r="AA49" s="49">
        <f t="shared" si="12"/>
        <v>0</v>
      </c>
      <c r="AB49" s="17" t="str">
        <f>IF(AA49=0,"",Z49/AA49)</f>
        <v/>
      </c>
    </row>
    <row r="50" spans="1:28" ht="15.75" x14ac:dyDescent="0.25">
      <c r="A50" s="5" t="s">
        <v>89</v>
      </c>
      <c r="B50" s="1"/>
      <c r="C50" s="1"/>
      <c r="D50" s="1"/>
      <c r="E50" s="44">
        <f>SUM(E48:E49)</f>
        <v>65275</v>
      </c>
      <c r="F50" s="44">
        <f>SUM(F48:F49)</f>
        <v>65275</v>
      </c>
      <c r="G50" s="44">
        <f>SUM(G48:G49)</f>
        <v>0</v>
      </c>
      <c r="H50" s="27" t="str">
        <f>IF(G50=0,"",F50/G50)</f>
        <v/>
      </c>
      <c r="I50" s="10"/>
      <c r="J50" s="50">
        <f t="shared" ref="J50:L50" si="13">SUM(J48:J49)</f>
        <v>0</v>
      </c>
      <c r="K50" s="50">
        <f t="shared" si="13"/>
        <v>0</v>
      </c>
      <c r="L50" s="50">
        <f t="shared" si="13"/>
        <v>0</v>
      </c>
      <c r="M50" s="27" t="str">
        <f>IF(L50=0,"",K50/L50)</f>
        <v/>
      </c>
      <c r="N50" s="10"/>
      <c r="O50" s="50">
        <f t="shared" ref="O50" si="14">SUM(O48:O49)</f>
        <v>-65275</v>
      </c>
      <c r="P50" s="50">
        <f t="shared" ref="P50" si="15">SUM(P48:P49)</f>
        <v>-65275</v>
      </c>
      <c r="Q50" s="50">
        <f t="shared" ref="Q50" si="16">SUM(Q48:Q49)</f>
        <v>0</v>
      </c>
      <c r="R50" s="27" t="s">
        <v>54</v>
      </c>
      <c r="S50" s="10"/>
      <c r="T50" s="50">
        <f t="shared" ref="T50" si="17">SUM(T48:T49)</f>
        <v>0</v>
      </c>
      <c r="U50" s="50">
        <f t="shared" ref="U50" si="18">SUM(U48:U49)</f>
        <v>0</v>
      </c>
      <c r="V50" s="50">
        <f t="shared" ref="V50" si="19">SUM(V48:V49)</f>
        <v>0</v>
      </c>
      <c r="W50" s="27" t="str">
        <f>IF(V50=0,"",U50/V50)</f>
        <v/>
      </c>
      <c r="X50" s="10"/>
      <c r="Y50" s="50">
        <f>SUM(Y48:Y49)</f>
        <v>0</v>
      </c>
      <c r="Z50" s="50">
        <f>SUM(Z48:Z49)</f>
        <v>0</v>
      </c>
      <c r="AA50" s="50">
        <f>SUM(AA48:AA49)</f>
        <v>0</v>
      </c>
      <c r="AB50" s="27" t="str">
        <f>IF(AA50=0,"",Z50/AA50)</f>
        <v/>
      </c>
    </row>
    <row r="51" spans="1:28" ht="15.75" x14ac:dyDescent="0.25">
      <c r="A51" s="1"/>
      <c r="B51" s="1"/>
      <c r="C51" s="1"/>
      <c r="D51" s="1"/>
      <c r="E51" s="31"/>
      <c r="F51" s="31"/>
      <c r="G51" s="31"/>
      <c r="H51" s="17"/>
      <c r="I51" s="10"/>
      <c r="J51" s="31"/>
      <c r="K51" s="31"/>
      <c r="L51" s="31"/>
      <c r="M51" s="17"/>
      <c r="N51" s="10"/>
      <c r="O51" s="31"/>
      <c r="P51" s="31"/>
      <c r="Q51" s="31"/>
      <c r="R51" s="17"/>
      <c r="S51" s="10"/>
      <c r="T51" s="31"/>
      <c r="U51" s="31"/>
      <c r="V51" s="31"/>
      <c r="W51" s="17"/>
      <c r="X51" s="10"/>
      <c r="Y51" s="31"/>
      <c r="Z51" s="31"/>
      <c r="AA51" s="31"/>
      <c r="AB51" s="17"/>
    </row>
    <row r="52" spans="1:28" ht="15.75" x14ac:dyDescent="0.25">
      <c r="A52" s="5" t="s">
        <v>90</v>
      </c>
      <c r="B52" s="1"/>
      <c r="C52" s="1"/>
      <c r="D52" s="1"/>
      <c r="E52" s="48">
        <f>E45+E50</f>
        <v>21659.57</v>
      </c>
      <c r="F52" s="48">
        <f>F45+F50</f>
        <v>21659.57</v>
      </c>
      <c r="G52" s="48">
        <f>G45+G50</f>
        <v>279550.12999999989</v>
      </c>
      <c r="H52" s="17">
        <f>IF(G52=0,"",F52/G52)</f>
        <v>7.748009274758702E-2</v>
      </c>
      <c r="I52" s="10"/>
      <c r="J52" s="48">
        <f>J45+J50</f>
        <v>0</v>
      </c>
      <c r="K52" s="48">
        <f>K45+K50</f>
        <v>0</v>
      </c>
      <c r="L52" s="48">
        <f>L45+L50</f>
        <v>0</v>
      </c>
      <c r="M52" s="17" t="str">
        <f>IF(L52=0,"",K52/L52)</f>
        <v/>
      </c>
      <c r="N52" s="10"/>
      <c r="O52" s="48"/>
      <c r="P52" s="48"/>
      <c r="Q52" s="48"/>
      <c r="R52" s="17" t="str">
        <f>IF(Q52=0,"",P52/Q52)</f>
        <v/>
      </c>
      <c r="S52" s="10"/>
      <c r="T52" s="48"/>
      <c r="U52" s="48">
        <f>U45+U50</f>
        <v>0</v>
      </c>
      <c r="V52" s="48">
        <f>V45+V50</f>
        <v>0</v>
      </c>
      <c r="W52" s="17" t="str">
        <f>IF(V52=0,"",U52/V52)</f>
        <v/>
      </c>
      <c r="X52" s="10"/>
      <c r="Y52" s="48">
        <f>E52+J52+O52+T52</f>
        <v>21659.57</v>
      </c>
      <c r="Z52" s="48">
        <f>F52+K52+P52+U52</f>
        <v>21659.57</v>
      </c>
      <c r="AA52" s="48">
        <f>G52+L52+Q52+V52</f>
        <v>279550.12999999989</v>
      </c>
      <c r="AB52" s="17">
        <f>IF(AA52=0,"",Z52/AA52)</f>
        <v>7.748009274758702E-2</v>
      </c>
    </row>
    <row r="53" spans="1:28" ht="15.75" x14ac:dyDescent="0.25">
      <c r="A53" s="1" t="s">
        <v>91</v>
      </c>
      <c r="B53" s="1"/>
      <c r="C53" s="1"/>
      <c r="D53" s="1"/>
      <c r="E53" s="49">
        <v>0</v>
      </c>
      <c r="F53" s="49">
        <v>0</v>
      </c>
      <c r="G53" s="49">
        <f>F53</f>
        <v>0</v>
      </c>
      <c r="H53" s="17" t="str">
        <f>IF(G53=0,"",F53/G53)</f>
        <v/>
      </c>
      <c r="I53" s="10"/>
      <c r="J53" s="49">
        <v>0</v>
      </c>
      <c r="K53" s="49">
        <v>0</v>
      </c>
      <c r="L53" s="49">
        <v>0</v>
      </c>
      <c r="M53" s="17" t="str">
        <f>IF(L53=0,"",K53/L53)</f>
        <v/>
      </c>
      <c r="N53" s="10"/>
      <c r="O53" s="49"/>
      <c r="P53" s="49"/>
      <c r="Q53" s="49"/>
      <c r="R53" s="17" t="s">
        <v>54</v>
      </c>
      <c r="S53" s="10"/>
      <c r="T53" s="49">
        <v>0</v>
      </c>
      <c r="U53" s="49">
        <v>0</v>
      </c>
      <c r="V53" s="49">
        <v>0</v>
      </c>
      <c r="W53" s="17" t="str">
        <f>IF(V53=0,"",U53/V53)</f>
        <v/>
      </c>
      <c r="X53" s="10"/>
      <c r="Y53" s="49">
        <f t="shared" ref="Y53:AA54" si="20">E53+J53+O53+T53</f>
        <v>0</v>
      </c>
      <c r="Z53" s="49">
        <f t="shared" si="20"/>
        <v>0</v>
      </c>
      <c r="AA53" s="49">
        <f t="shared" si="20"/>
        <v>0</v>
      </c>
      <c r="AB53" s="17" t="str">
        <f>IF(AA53=0,"",Z53/AA53)</f>
        <v/>
      </c>
    </row>
    <row r="54" spans="1:28" ht="15.75" x14ac:dyDescent="0.25">
      <c r="A54" s="1" t="s">
        <v>92</v>
      </c>
      <c r="B54" s="1"/>
      <c r="C54" s="1"/>
      <c r="D54" s="1"/>
      <c r="E54" s="46"/>
      <c r="F54" s="46"/>
      <c r="G54" s="46">
        <f>F54</f>
        <v>0</v>
      </c>
      <c r="H54" s="17" t="str">
        <f>IF(G54=0,"",F54/G54)</f>
        <v/>
      </c>
      <c r="I54" s="10"/>
      <c r="J54" s="31"/>
      <c r="K54" s="31"/>
      <c r="L54" s="31"/>
      <c r="M54" s="17" t="str">
        <f>IF(L54=0,"",K54/L54)</f>
        <v/>
      </c>
      <c r="N54" s="10"/>
      <c r="O54" s="48"/>
      <c r="P54" s="48"/>
      <c r="Q54" s="48"/>
      <c r="R54" s="17" t="s">
        <v>54</v>
      </c>
      <c r="S54" s="10"/>
      <c r="T54" s="48"/>
      <c r="U54" s="48"/>
      <c r="V54" s="48"/>
      <c r="W54" s="17" t="str">
        <f>IF(V54=0,"",U54/V54)</f>
        <v/>
      </c>
      <c r="X54" s="10"/>
      <c r="Y54" s="48">
        <f t="shared" si="20"/>
        <v>0</v>
      </c>
      <c r="Z54" s="48">
        <f t="shared" si="20"/>
        <v>0</v>
      </c>
      <c r="AA54" s="48">
        <f t="shared" si="20"/>
        <v>0</v>
      </c>
      <c r="AB54" s="17" t="str">
        <f>IF(AA54=0,"",Z54/AA54)</f>
        <v/>
      </c>
    </row>
    <row r="55" spans="1:28" ht="15.75" x14ac:dyDescent="0.25">
      <c r="A55" s="5" t="s">
        <v>93</v>
      </c>
      <c r="B55" s="1"/>
      <c r="C55" s="1"/>
      <c r="D55" s="1"/>
      <c r="E55" s="44">
        <f>SUM(E53:E54)</f>
        <v>0</v>
      </c>
      <c r="F55" s="44">
        <f>SUM(F53:F54)</f>
        <v>0</v>
      </c>
      <c r="G55" s="44">
        <f>SUM(G53:G54)</f>
        <v>0</v>
      </c>
      <c r="H55" s="27" t="str">
        <f>IF(G55=0,"",F55/G55)</f>
        <v/>
      </c>
      <c r="I55" s="10"/>
      <c r="J55" s="30">
        <f>SUM(J53:J54)</f>
        <v>0</v>
      </c>
      <c r="K55" s="30">
        <f>SUM(K53:K54)</f>
        <v>0</v>
      </c>
      <c r="L55" s="30">
        <f>SUM(L53:L54)</f>
        <v>0</v>
      </c>
      <c r="M55" s="27" t="str">
        <f>IF(L55=0,"",K55/L55)</f>
        <v/>
      </c>
      <c r="N55" s="10"/>
      <c r="O55" s="30">
        <f>SUM(O53:O54)</f>
        <v>0</v>
      </c>
      <c r="P55" s="30">
        <f>SUM(P53:P54)</f>
        <v>0</v>
      </c>
      <c r="Q55" s="30">
        <f>SUM(Q53:Q54)</f>
        <v>0</v>
      </c>
      <c r="R55" s="27" t="str">
        <f>IF(Q55=0,"",P55/Q55)</f>
        <v/>
      </c>
      <c r="S55" s="10"/>
      <c r="T55" s="30">
        <f>SUM(T53:T54)</f>
        <v>0</v>
      </c>
      <c r="U55" s="30">
        <f>SUM(U53:U54)</f>
        <v>0</v>
      </c>
      <c r="V55" s="30">
        <f>SUM(V53:V54)</f>
        <v>0</v>
      </c>
      <c r="W55" s="27" t="str">
        <f>IF(V55=0,"",U55/V55)</f>
        <v/>
      </c>
      <c r="X55" s="10"/>
      <c r="Y55" s="44">
        <f>SUM(Y53:Y54)</f>
        <v>0</v>
      </c>
      <c r="Z55" s="44">
        <f>SUM(Z53:Z54)</f>
        <v>0</v>
      </c>
      <c r="AA55" s="30">
        <f>SUM(AA53:AA54)</f>
        <v>0</v>
      </c>
      <c r="AB55" s="27" t="str">
        <f>IF(AA55=0,"",Z55/AA55)</f>
        <v/>
      </c>
    </row>
    <row r="56" spans="1:28" ht="15.75" x14ac:dyDescent="0.25">
      <c r="A56" s="1"/>
      <c r="B56" s="1"/>
      <c r="C56" s="1"/>
      <c r="D56" s="1"/>
      <c r="E56" s="10"/>
      <c r="F56" s="10"/>
      <c r="G56" s="10"/>
      <c r="H56" s="17"/>
      <c r="I56" s="10"/>
      <c r="J56" s="10"/>
      <c r="K56" s="10"/>
      <c r="L56" s="10"/>
      <c r="M56" s="17"/>
      <c r="N56" s="10"/>
      <c r="O56" s="10"/>
      <c r="P56" s="10"/>
      <c r="Q56" s="10"/>
      <c r="R56" s="17"/>
      <c r="S56" s="10"/>
      <c r="T56" s="10"/>
      <c r="U56" s="10"/>
      <c r="V56" s="10"/>
      <c r="W56" s="17"/>
      <c r="X56" s="10"/>
      <c r="Y56" s="10"/>
      <c r="Z56" s="10"/>
      <c r="AA56" s="10"/>
      <c r="AB56" s="17"/>
    </row>
    <row r="57" spans="1:28" ht="16.5" thickBot="1" x14ac:dyDescent="0.3">
      <c r="A57" s="5" t="s">
        <v>94</v>
      </c>
      <c r="B57" s="1"/>
      <c r="C57" s="1"/>
      <c r="D57" s="1"/>
      <c r="E57" s="47">
        <f>E55+E52</f>
        <v>21659.57</v>
      </c>
      <c r="F57" s="47">
        <f>F55+F52</f>
        <v>21659.57</v>
      </c>
      <c r="G57" s="47">
        <f>G55+G52</f>
        <v>279550.12999999989</v>
      </c>
      <c r="H57" s="29">
        <f>IF(G57=0,"%",F57/G57)</f>
        <v>7.748009274758702E-2</v>
      </c>
      <c r="I57" s="10"/>
      <c r="J57" s="47">
        <f>J55+J52</f>
        <v>0</v>
      </c>
      <c r="K57" s="47">
        <f>K55+K52</f>
        <v>0</v>
      </c>
      <c r="L57" s="47">
        <f>L55+L52</f>
        <v>0</v>
      </c>
      <c r="M57" s="29" t="str">
        <f>IF(L57=0,"%",K57/L57)</f>
        <v>%</v>
      </c>
      <c r="N57" s="10"/>
      <c r="O57" s="47">
        <f>O55+O52</f>
        <v>0</v>
      </c>
      <c r="P57" s="47">
        <f>P55+P52</f>
        <v>0</v>
      </c>
      <c r="Q57" s="47">
        <f>Q55+Q52</f>
        <v>0</v>
      </c>
      <c r="R57" s="29" t="str">
        <f>IF(Q57=0,"%",P57/Q57)</f>
        <v>%</v>
      </c>
      <c r="S57" s="10"/>
      <c r="T57" s="47">
        <f>T55+T52</f>
        <v>0</v>
      </c>
      <c r="U57" s="47">
        <f>U55+U52</f>
        <v>0</v>
      </c>
      <c r="V57" s="47">
        <f>V55+V52</f>
        <v>0</v>
      </c>
      <c r="W57" s="29" t="str">
        <f>IF(V57=0,"%",U57/V57)</f>
        <v>%</v>
      </c>
      <c r="X57" s="10"/>
      <c r="Y57" s="47">
        <f>Y55+Y52</f>
        <v>21659.57</v>
      </c>
      <c r="Z57" s="47">
        <f>Z55+Z52</f>
        <v>21659.57</v>
      </c>
      <c r="AA57" s="47">
        <f>AA55+AA52</f>
        <v>279550.12999999989</v>
      </c>
      <c r="AB57" s="29">
        <f>IF(AA57=0,"%",Z57/AA57)</f>
        <v>7.748009274758702E-2</v>
      </c>
    </row>
    <row r="58" spans="1:28" ht="16.5" thickTop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F59" s="55"/>
    </row>
    <row r="60" spans="1:28" x14ac:dyDescent="0.25">
      <c r="B60" t="s">
        <v>195</v>
      </c>
      <c r="K60" s="32"/>
      <c r="Z60" s="32"/>
    </row>
    <row r="61" spans="1:28" x14ac:dyDescent="0.25">
      <c r="Z61" s="32"/>
    </row>
    <row r="62" spans="1:28" x14ac:dyDescent="0.25">
      <c r="Z62" s="32"/>
    </row>
    <row r="64" spans="1:28" x14ac:dyDescent="0.25">
      <c r="Z64" s="32"/>
    </row>
  </sheetData>
  <mergeCells count="9">
    <mergeCell ref="O9:R9"/>
    <mergeCell ref="T9:W9"/>
    <mergeCell ref="Y9:AB9"/>
    <mergeCell ref="A1:L1"/>
    <mergeCell ref="A2:L2"/>
    <mergeCell ref="A3:L3"/>
    <mergeCell ref="A4:L4"/>
    <mergeCell ref="E9:H9"/>
    <mergeCell ref="J9:M9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workbookViewId="0">
      <selection activeCell="B1" sqref="B1"/>
    </sheetView>
  </sheetViews>
  <sheetFormatPr defaultRowHeight="15" x14ac:dyDescent="0.25"/>
  <cols>
    <col min="1" max="1" width="12.42578125" bestFit="1" customWidth="1"/>
  </cols>
  <sheetData>
    <row r="1" spans="1:2" x14ac:dyDescent="0.25">
      <c r="A1" t="s">
        <v>196</v>
      </c>
      <c r="B1" s="55">
        <f>BS!F27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K18" sqref="K18"/>
    </sheetView>
  </sheetViews>
  <sheetFormatPr defaultRowHeight="15" x14ac:dyDescent="0.25"/>
  <cols>
    <col min="1" max="1" width="9.85546875" bestFit="1" customWidth="1"/>
    <col min="2" max="3" width="2.28515625" customWidth="1"/>
    <col min="4" max="4" width="11" bestFit="1" customWidth="1"/>
    <col min="5" max="5" width="2.28515625" customWidth="1"/>
    <col min="6" max="6" width="8.7109375" bestFit="1" customWidth="1"/>
    <col min="7" max="7" width="2.28515625" customWidth="1"/>
    <col min="8" max="8" width="10.140625" bestFit="1" customWidth="1"/>
    <col min="9" max="9" width="2.28515625" customWidth="1"/>
    <col min="10" max="10" width="21.5703125" bestFit="1" customWidth="1"/>
    <col min="11" max="11" width="2.28515625" customWidth="1"/>
    <col min="12" max="12" width="8.7109375" bestFit="1" customWidth="1"/>
    <col min="13" max="13" width="2.28515625" customWidth="1"/>
    <col min="14" max="14" width="5.5703125" bestFit="1" customWidth="1"/>
    <col min="15" max="15" width="2.28515625" customWidth="1"/>
    <col min="16" max="16" width="11.5703125" bestFit="1" customWidth="1"/>
  </cols>
  <sheetData>
    <row r="1" spans="1:16" ht="15.75" thickBot="1" x14ac:dyDescent="0.3">
      <c r="A1" s="58"/>
      <c r="B1" s="58"/>
      <c r="C1" s="58"/>
      <c r="D1" s="34" t="s">
        <v>174</v>
      </c>
      <c r="E1" s="58"/>
      <c r="F1" s="34" t="s">
        <v>175</v>
      </c>
      <c r="G1" s="58"/>
      <c r="H1" s="34" t="s">
        <v>176</v>
      </c>
      <c r="I1" s="58"/>
      <c r="J1" s="34" t="s">
        <v>177</v>
      </c>
      <c r="K1" s="58"/>
      <c r="L1" s="34" t="s">
        <v>178</v>
      </c>
      <c r="M1" s="58"/>
      <c r="N1" s="34" t="s">
        <v>179</v>
      </c>
      <c r="O1" s="58"/>
      <c r="P1" s="34" t="s">
        <v>180</v>
      </c>
    </row>
    <row r="2" spans="1:16" ht="15.75" thickTop="1" x14ac:dyDescent="0.25">
      <c r="A2" s="36" t="s">
        <v>181</v>
      </c>
      <c r="B2" s="36"/>
      <c r="C2" s="36"/>
      <c r="D2" s="36"/>
      <c r="E2" s="36"/>
      <c r="F2" s="59"/>
      <c r="G2" s="36"/>
      <c r="H2" s="36"/>
      <c r="I2" s="36"/>
      <c r="J2" s="36"/>
      <c r="K2" s="36"/>
      <c r="L2" s="59"/>
      <c r="M2" s="36"/>
      <c r="N2" s="36"/>
      <c r="O2" s="36"/>
      <c r="P2" s="60"/>
    </row>
    <row r="3" spans="1:16" x14ac:dyDescent="0.25">
      <c r="A3" s="61"/>
      <c r="B3" s="61"/>
      <c r="C3" s="61"/>
      <c r="D3" s="61"/>
      <c r="E3" s="61"/>
      <c r="F3" s="62"/>
      <c r="G3" s="61"/>
      <c r="H3" s="61"/>
      <c r="I3" s="61"/>
      <c r="J3" s="61"/>
      <c r="K3" s="61"/>
      <c r="L3" s="62"/>
      <c r="M3" s="61"/>
      <c r="N3" s="61"/>
      <c r="O3" s="61"/>
      <c r="P3" s="37"/>
    </row>
    <row r="4" spans="1:16" x14ac:dyDescent="0.25">
      <c r="A4" s="61"/>
      <c r="B4" s="61"/>
      <c r="C4" s="61"/>
      <c r="D4" s="61"/>
      <c r="E4" s="61"/>
      <c r="F4" s="62"/>
      <c r="G4" s="61"/>
      <c r="H4" s="61"/>
      <c r="I4" s="61"/>
      <c r="J4" s="61"/>
      <c r="K4" s="61"/>
      <c r="L4" s="62"/>
      <c r="M4" s="61"/>
      <c r="N4" s="61"/>
      <c r="O4" s="61"/>
      <c r="P4" s="37"/>
    </row>
    <row r="5" spans="1:16" x14ac:dyDescent="0.25">
      <c r="A5" s="61"/>
      <c r="B5" s="61"/>
      <c r="C5" s="61"/>
      <c r="D5" s="61"/>
      <c r="E5" s="61"/>
      <c r="F5" s="62"/>
      <c r="G5" s="61"/>
      <c r="H5" s="61"/>
      <c r="I5" s="61"/>
      <c r="J5" s="61"/>
      <c r="K5" s="61"/>
      <c r="L5" s="62"/>
      <c r="M5" s="61"/>
      <c r="N5" s="61"/>
      <c r="O5" s="61"/>
      <c r="P5" s="37"/>
    </row>
    <row r="6" spans="1:16" x14ac:dyDescent="0.25">
      <c r="A6" s="61"/>
      <c r="B6" s="61"/>
      <c r="C6" s="61"/>
      <c r="D6" s="61"/>
      <c r="E6" s="61"/>
      <c r="F6" s="62"/>
      <c r="G6" s="61"/>
      <c r="H6" s="61"/>
      <c r="I6" s="61"/>
      <c r="J6" s="61"/>
      <c r="K6" s="61"/>
      <c r="L6" s="62"/>
      <c r="M6" s="61"/>
      <c r="N6" s="61"/>
      <c r="O6" s="61"/>
      <c r="P6" s="37"/>
    </row>
    <row r="7" spans="1:16" x14ac:dyDescent="0.25">
      <c r="A7" s="61"/>
      <c r="B7" s="61"/>
      <c r="C7" s="61"/>
      <c r="D7" s="61"/>
      <c r="E7" s="61"/>
      <c r="F7" s="62"/>
      <c r="G7" s="61"/>
      <c r="H7" s="61"/>
      <c r="I7" s="61"/>
      <c r="J7" s="61"/>
      <c r="K7" s="61"/>
      <c r="L7" s="62"/>
      <c r="M7" s="61"/>
      <c r="N7" s="61"/>
      <c r="O7" s="61"/>
      <c r="P7" s="37"/>
    </row>
    <row r="8" spans="1:16" x14ac:dyDescent="0.25">
      <c r="A8" s="61"/>
      <c r="B8" s="61"/>
      <c r="C8" s="61"/>
      <c r="D8" s="61"/>
      <c r="E8" s="61"/>
      <c r="F8" s="62"/>
      <c r="G8" s="61"/>
      <c r="H8" s="61"/>
      <c r="I8" s="61"/>
      <c r="J8" s="61"/>
      <c r="K8" s="61"/>
      <c r="L8" s="62"/>
      <c r="M8" s="61"/>
      <c r="N8" s="61"/>
      <c r="O8" s="61"/>
      <c r="P8" s="37"/>
    </row>
    <row r="9" spans="1:16" x14ac:dyDescent="0.25">
      <c r="A9" s="61"/>
      <c r="B9" s="61"/>
      <c r="C9" s="61"/>
      <c r="D9" s="61"/>
      <c r="E9" s="61"/>
      <c r="F9" s="62"/>
      <c r="G9" s="61"/>
      <c r="H9" s="61"/>
      <c r="I9" s="61"/>
      <c r="J9" s="61"/>
      <c r="K9" s="61"/>
      <c r="L9" s="62"/>
      <c r="M9" s="61"/>
      <c r="N9" s="61"/>
      <c r="O9" s="61"/>
      <c r="P9" s="37"/>
    </row>
    <row r="10" spans="1:16" x14ac:dyDescent="0.25">
      <c r="A10" s="61"/>
      <c r="B10" s="61"/>
      <c r="C10" s="61"/>
      <c r="D10" s="61"/>
      <c r="E10" s="61"/>
      <c r="F10" s="62"/>
      <c r="G10" s="61"/>
      <c r="H10" s="61"/>
      <c r="I10" s="61"/>
      <c r="J10" s="61"/>
      <c r="K10" s="61"/>
      <c r="L10" s="62"/>
      <c r="M10" s="61"/>
      <c r="N10" s="61"/>
      <c r="O10" s="61"/>
      <c r="P10" s="37"/>
    </row>
    <row r="11" spans="1:16" x14ac:dyDescent="0.25">
      <c r="A11" s="61"/>
      <c r="B11" s="61"/>
      <c r="C11" s="61"/>
      <c r="D11" s="61"/>
      <c r="E11" s="61"/>
      <c r="F11" s="62"/>
      <c r="G11" s="61"/>
      <c r="H11" s="61"/>
      <c r="I11" s="61"/>
      <c r="J11" s="61"/>
      <c r="K11" s="61"/>
      <c r="L11" s="62"/>
      <c r="M11" s="61"/>
      <c r="N11" s="61"/>
      <c r="O11" s="61"/>
      <c r="P11" s="37"/>
    </row>
    <row r="12" spans="1:16" x14ac:dyDescent="0.25">
      <c r="A12" s="61"/>
      <c r="B12" s="61"/>
      <c r="C12" s="61"/>
      <c r="D12" s="61"/>
      <c r="E12" s="61"/>
      <c r="F12" s="62"/>
      <c r="G12" s="61"/>
      <c r="H12" s="61"/>
      <c r="I12" s="61"/>
      <c r="J12" s="61"/>
      <c r="K12" s="61"/>
      <c r="L12" s="62"/>
      <c r="M12" s="61"/>
      <c r="N12" s="61"/>
      <c r="O12" s="61"/>
      <c r="P12" s="37"/>
    </row>
    <row r="13" spans="1:16" x14ac:dyDescent="0.25">
      <c r="A13" s="61"/>
      <c r="B13" s="61"/>
      <c r="C13" s="61"/>
      <c r="D13" s="61"/>
      <c r="E13" s="61"/>
      <c r="F13" s="62"/>
      <c r="G13" s="61"/>
      <c r="H13" s="61"/>
      <c r="I13" s="61"/>
      <c r="J13" s="61"/>
      <c r="K13" s="61"/>
      <c r="L13" s="62"/>
      <c r="M13" s="61"/>
      <c r="N13" s="61"/>
      <c r="O13" s="61"/>
      <c r="P13" s="37"/>
    </row>
    <row r="14" spans="1:16" ht="15.75" thickBot="1" x14ac:dyDescent="0.3">
      <c r="A14" s="61"/>
      <c r="B14" s="61"/>
      <c r="C14" s="61"/>
      <c r="D14" s="61"/>
      <c r="E14" s="61"/>
      <c r="F14" s="62"/>
      <c r="G14" s="61"/>
      <c r="H14" s="61"/>
      <c r="I14" s="61"/>
      <c r="J14" s="61"/>
      <c r="K14" s="61"/>
      <c r="L14" s="62"/>
      <c r="M14" s="61"/>
      <c r="N14" s="61"/>
      <c r="O14" s="61"/>
      <c r="P14" s="40"/>
    </row>
    <row r="15" spans="1:16" x14ac:dyDescent="0.25">
      <c r="A15" s="61" t="s">
        <v>182</v>
      </c>
      <c r="B15" s="61"/>
      <c r="C15" s="61"/>
      <c r="D15" s="61"/>
      <c r="E15" s="61"/>
      <c r="F15" s="62"/>
      <c r="G15" s="61"/>
      <c r="H15" s="61"/>
      <c r="I15" s="61"/>
      <c r="J15" s="61"/>
      <c r="K15" s="61"/>
      <c r="L15" s="62"/>
      <c r="M15" s="61"/>
      <c r="N15" s="61"/>
      <c r="O15" s="61"/>
      <c r="P15" s="37">
        <f>ROUND(SUM(P2:P14),5)</f>
        <v>0</v>
      </c>
    </row>
    <row r="16" spans="1:16" x14ac:dyDescent="0.25">
      <c r="A16" s="36" t="s">
        <v>187</v>
      </c>
      <c r="B16" s="36"/>
      <c r="C16" s="36"/>
      <c r="D16" s="36"/>
      <c r="E16" s="36"/>
      <c r="F16" s="59"/>
      <c r="G16" s="36"/>
      <c r="H16" s="36"/>
      <c r="I16" s="36"/>
      <c r="J16" s="36"/>
      <c r="K16" s="36"/>
      <c r="L16" s="59"/>
      <c r="M16" s="36"/>
      <c r="N16" s="36"/>
      <c r="O16" s="36"/>
      <c r="P16" s="60"/>
    </row>
    <row r="17" spans="1:16" ht="15.75" thickBot="1" x14ac:dyDescent="0.3">
      <c r="A17" s="65"/>
      <c r="B17" s="61"/>
      <c r="C17" s="61"/>
      <c r="D17" s="61"/>
      <c r="E17" s="61"/>
      <c r="F17" s="62"/>
      <c r="G17" s="61"/>
      <c r="H17" s="61"/>
      <c r="I17" s="61"/>
      <c r="J17" s="61"/>
      <c r="K17" s="61"/>
      <c r="L17" s="62"/>
      <c r="M17" s="61"/>
      <c r="N17" s="61"/>
      <c r="O17" s="61"/>
      <c r="P17" s="40"/>
    </row>
    <row r="18" spans="1:16" x14ac:dyDescent="0.25">
      <c r="A18" s="61" t="s">
        <v>188</v>
      </c>
      <c r="B18" s="61"/>
      <c r="C18" s="61"/>
      <c r="D18" s="61"/>
      <c r="E18" s="61"/>
      <c r="F18" s="62"/>
      <c r="G18" s="61"/>
      <c r="H18" s="61"/>
      <c r="I18" s="61"/>
      <c r="J18" s="61"/>
      <c r="K18" s="61"/>
      <c r="L18" s="62"/>
      <c r="M18" s="61"/>
      <c r="N18" s="61"/>
      <c r="O18" s="61"/>
      <c r="P18" s="37">
        <f>ROUND(SUM(P16:P17),5)</f>
        <v>0</v>
      </c>
    </row>
    <row r="19" spans="1:16" x14ac:dyDescent="0.25">
      <c r="A19" s="36" t="s">
        <v>189</v>
      </c>
      <c r="B19" s="36"/>
      <c r="C19" s="36"/>
      <c r="D19" s="36"/>
      <c r="E19" s="36"/>
      <c r="F19" s="59"/>
      <c r="G19" s="36"/>
      <c r="H19" s="36"/>
      <c r="I19" s="36"/>
      <c r="J19" s="36"/>
      <c r="K19" s="36"/>
      <c r="L19" s="59"/>
      <c r="M19" s="36"/>
      <c r="N19" s="36"/>
      <c r="O19" s="36"/>
      <c r="P19" s="60"/>
    </row>
    <row r="20" spans="1:16" x14ac:dyDescent="0.25">
      <c r="A20" s="61" t="s">
        <v>190</v>
      </c>
      <c r="B20" s="61"/>
      <c r="C20" s="61"/>
      <c r="D20" s="61"/>
      <c r="E20" s="61"/>
      <c r="F20" s="62"/>
      <c r="G20" s="61"/>
      <c r="H20" s="61"/>
      <c r="I20" s="61"/>
      <c r="J20" s="61"/>
      <c r="K20" s="61"/>
      <c r="L20" s="62"/>
      <c r="M20" s="61"/>
      <c r="N20" s="61"/>
      <c r="O20" s="61"/>
      <c r="P20" s="37"/>
    </row>
    <row r="21" spans="1:16" x14ac:dyDescent="0.25">
      <c r="A21" s="36" t="s">
        <v>191</v>
      </c>
      <c r="B21" s="36"/>
      <c r="C21" s="36"/>
      <c r="D21" s="36"/>
      <c r="E21" s="36"/>
      <c r="F21" s="59"/>
      <c r="G21" s="36"/>
      <c r="H21" s="36"/>
      <c r="I21" s="36"/>
      <c r="J21" s="36"/>
      <c r="K21" s="36"/>
      <c r="L21" s="59"/>
      <c r="M21" s="36"/>
      <c r="N21" s="36"/>
      <c r="O21" s="36"/>
      <c r="P21" s="60"/>
    </row>
    <row r="22" spans="1:16" x14ac:dyDescent="0.25">
      <c r="A22" s="61" t="s">
        <v>192</v>
      </c>
      <c r="B22" s="61"/>
      <c r="C22" s="61"/>
      <c r="D22" s="61"/>
      <c r="E22" s="61"/>
      <c r="F22" s="62"/>
      <c r="G22" s="61"/>
      <c r="H22" s="61"/>
      <c r="I22" s="61"/>
      <c r="J22" s="61"/>
      <c r="K22" s="61"/>
      <c r="L22" s="62"/>
      <c r="M22" s="61"/>
      <c r="N22" s="61"/>
      <c r="O22" s="61"/>
      <c r="P22" s="37"/>
    </row>
    <row r="23" spans="1:16" x14ac:dyDescent="0.25">
      <c r="A23" s="36" t="s">
        <v>183</v>
      </c>
      <c r="B23" s="36"/>
      <c r="C23" s="36"/>
      <c r="D23" s="36"/>
      <c r="E23" s="36"/>
      <c r="F23" s="59"/>
      <c r="G23" s="36"/>
      <c r="H23" s="36"/>
      <c r="I23" s="36"/>
      <c r="J23" s="36"/>
      <c r="K23" s="36"/>
      <c r="L23" s="59"/>
      <c r="M23" s="36"/>
      <c r="N23" s="36"/>
      <c r="O23" s="36"/>
      <c r="P23" s="60"/>
    </row>
    <row r="24" spans="1:16" ht="15.75" thickBot="1" x14ac:dyDescent="0.3">
      <c r="A24" s="61" t="s">
        <v>184</v>
      </c>
      <c r="B24" s="61"/>
      <c r="C24" s="61"/>
      <c r="D24" s="61"/>
      <c r="E24" s="61"/>
      <c r="F24" s="62"/>
      <c r="G24" s="61"/>
      <c r="H24" s="61"/>
      <c r="I24" s="61"/>
      <c r="J24" s="61"/>
      <c r="K24" s="61"/>
      <c r="L24" s="62"/>
      <c r="M24" s="61"/>
      <c r="N24" s="61"/>
      <c r="O24" s="61"/>
      <c r="P24" s="37"/>
    </row>
    <row r="25" spans="1:16" ht="15.75" thickBot="1" x14ac:dyDescent="0.3">
      <c r="A25" s="36" t="s">
        <v>185</v>
      </c>
      <c r="B25" s="36"/>
      <c r="C25" s="36"/>
      <c r="D25" s="36"/>
      <c r="E25" s="36"/>
      <c r="F25" s="59"/>
      <c r="G25" s="36"/>
      <c r="H25" s="36"/>
      <c r="I25" s="36"/>
      <c r="J25" s="36"/>
      <c r="K25" s="36"/>
      <c r="L25" s="59"/>
      <c r="M25" s="36"/>
      <c r="N25" s="36"/>
      <c r="O25" s="36"/>
      <c r="P25" s="41">
        <f>ROUND(P15+P18+P20+P22+P24,5)</f>
        <v>0</v>
      </c>
    </row>
    <row r="26" spans="1:16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workbookViewId="0">
      <selection activeCell="F26" sqref="F26"/>
    </sheetView>
  </sheetViews>
  <sheetFormatPr defaultRowHeight="15" x14ac:dyDescent="0.25"/>
  <cols>
    <col min="1" max="4" width="3" style="42" customWidth="1"/>
    <col min="5" max="5" width="34.42578125" style="42" customWidth="1"/>
    <col min="6" max="6" width="10" bestFit="1" customWidth="1"/>
    <col min="7" max="7" width="18.140625" bestFit="1" customWidth="1"/>
    <col min="8" max="8" width="9.85546875" bestFit="1" customWidth="1"/>
  </cols>
  <sheetData>
    <row r="1" spans="1:9" s="35" customFormat="1" ht="15.75" thickBot="1" x14ac:dyDescent="0.3">
      <c r="A1" s="33"/>
      <c r="B1" s="33"/>
      <c r="C1" s="33"/>
      <c r="D1" s="33"/>
      <c r="E1" s="33"/>
      <c r="F1" s="34" t="s">
        <v>115</v>
      </c>
    </row>
    <row r="2" spans="1:9" ht="15.75" thickTop="1" x14ac:dyDescent="0.25">
      <c r="A2" s="36"/>
      <c r="B2" s="36"/>
      <c r="C2" s="36" t="s">
        <v>95</v>
      </c>
      <c r="D2" s="36"/>
      <c r="E2" s="36"/>
      <c r="F2" s="37"/>
    </row>
    <row r="3" spans="1:9" x14ac:dyDescent="0.25">
      <c r="A3" s="36"/>
      <c r="B3" s="36"/>
      <c r="C3" s="36"/>
      <c r="D3" s="36" t="s">
        <v>96</v>
      </c>
      <c r="E3" s="36"/>
      <c r="F3" s="37"/>
    </row>
    <row r="4" spans="1:9" x14ac:dyDescent="0.25">
      <c r="A4" s="36"/>
      <c r="B4" s="36"/>
      <c r="C4" s="36"/>
      <c r="D4" s="36"/>
      <c r="E4" s="36" t="s">
        <v>97</v>
      </c>
      <c r="F4" s="37">
        <f>0-F5</f>
        <v>0</v>
      </c>
    </row>
    <row r="5" spans="1:9" ht="15.75" thickBot="1" x14ac:dyDescent="0.3">
      <c r="A5" s="36"/>
      <c r="B5" s="36"/>
      <c r="C5" s="36"/>
      <c r="D5" s="36"/>
      <c r="E5" s="36" t="s">
        <v>116</v>
      </c>
      <c r="F5" s="37"/>
    </row>
    <row r="6" spans="1:9" x14ac:dyDescent="0.25">
      <c r="A6" s="36"/>
      <c r="B6" s="36"/>
      <c r="C6" s="36"/>
      <c r="D6" s="36" t="s">
        <v>98</v>
      </c>
      <c r="E6" s="36"/>
      <c r="F6" s="38">
        <f>ROUND(SUM(F3:F5),5)</f>
        <v>0</v>
      </c>
      <c r="G6" t="s">
        <v>169</v>
      </c>
      <c r="H6" t="s">
        <v>194</v>
      </c>
    </row>
    <row r="7" spans="1:9" x14ac:dyDescent="0.25">
      <c r="A7" s="36"/>
      <c r="B7" s="36"/>
      <c r="C7" s="36"/>
      <c r="D7" s="36"/>
      <c r="E7" s="36" t="s">
        <v>121</v>
      </c>
      <c r="F7" s="37">
        <v>0</v>
      </c>
      <c r="I7">
        <f>Budget!F32+Budget!F33</f>
        <v>0</v>
      </c>
    </row>
    <row r="8" spans="1:9" x14ac:dyDescent="0.25">
      <c r="A8" s="36"/>
      <c r="B8" s="36"/>
      <c r="C8" s="36"/>
      <c r="D8" s="36"/>
      <c r="E8" s="36" t="s">
        <v>117</v>
      </c>
      <c r="F8" s="37">
        <v>0</v>
      </c>
    </row>
    <row r="9" spans="1:9" x14ac:dyDescent="0.25">
      <c r="A9" s="36"/>
      <c r="B9" s="36"/>
      <c r="C9" s="36"/>
      <c r="D9" s="36"/>
      <c r="E9" s="36" t="s">
        <v>7</v>
      </c>
      <c r="F9" s="37">
        <v>0</v>
      </c>
    </row>
    <row r="10" spans="1:9" ht="15.75" thickBot="1" x14ac:dyDescent="0.3">
      <c r="A10" s="36"/>
      <c r="B10" s="36"/>
      <c r="C10" s="36"/>
      <c r="D10" s="36"/>
      <c r="E10" s="36" t="s">
        <v>173</v>
      </c>
      <c r="F10" s="37">
        <v>0</v>
      </c>
    </row>
    <row r="11" spans="1:9" ht="15.75" thickBot="1" x14ac:dyDescent="0.3">
      <c r="A11" s="36"/>
      <c r="B11" s="36"/>
      <c r="C11" s="36" t="s">
        <v>99</v>
      </c>
      <c r="D11" s="36"/>
      <c r="E11" s="36"/>
      <c r="F11" s="39">
        <f>SUM(F6:F10)</f>
        <v>0</v>
      </c>
    </row>
    <row r="12" spans="1:9" x14ac:dyDescent="0.25">
      <c r="A12" s="36"/>
      <c r="B12" s="36" t="s">
        <v>100</v>
      </c>
      <c r="C12" s="36"/>
      <c r="D12" s="36"/>
      <c r="E12" s="36"/>
      <c r="F12" s="37">
        <f>F11</f>
        <v>0</v>
      </c>
    </row>
    <row r="13" spans="1:9" x14ac:dyDescent="0.25">
      <c r="A13" s="36"/>
      <c r="B13" s="36"/>
      <c r="C13" s="36" t="s">
        <v>101</v>
      </c>
      <c r="D13" s="36"/>
      <c r="E13" s="36"/>
      <c r="F13" s="37"/>
    </row>
    <row r="14" spans="1:9" x14ac:dyDescent="0.25">
      <c r="A14" s="36"/>
      <c r="B14" s="36"/>
      <c r="C14" s="36"/>
      <c r="D14" s="36" t="s">
        <v>102</v>
      </c>
      <c r="E14" s="36"/>
      <c r="F14" s="37"/>
    </row>
    <row r="15" spans="1:9" x14ac:dyDescent="0.25">
      <c r="A15" s="36"/>
      <c r="B15" s="36"/>
      <c r="C15" s="36"/>
      <c r="D15" s="36"/>
      <c r="E15" s="36" t="s">
        <v>103</v>
      </c>
      <c r="F15" s="37">
        <v>29803.56</v>
      </c>
      <c r="G15" s="55">
        <f>'Balance Sheet'!E18-'Balance Sheet'!E40</f>
        <v>0</v>
      </c>
    </row>
    <row r="16" spans="1:9" x14ac:dyDescent="0.25">
      <c r="A16" s="36"/>
      <c r="B16" s="36"/>
      <c r="C16" s="36"/>
      <c r="D16" s="36"/>
      <c r="E16" s="36" t="s">
        <v>118</v>
      </c>
      <c r="F16" s="37">
        <v>0</v>
      </c>
    </row>
    <row r="17" spans="1:8" x14ac:dyDescent="0.25">
      <c r="A17" s="36"/>
      <c r="B17" s="36"/>
      <c r="C17" s="36"/>
      <c r="D17" s="36"/>
      <c r="E17" s="36" t="s">
        <v>104</v>
      </c>
      <c r="F17" s="37">
        <v>0</v>
      </c>
      <c r="H17" s="63"/>
    </row>
    <row r="18" spans="1:8" x14ac:dyDescent="0.25">
      <c r="A18" s="36"/>
      <c r="B18" s="36"/>
      <c r="C18" s="36"/>
      <c r="D18" s="36"/>
      <c r="E18" s="36" t="s">
        <v>105</v>
      </c>
      <c r="F18" s="37">
        <v>2655.83</v>
      </c>
    </row>
    <row r="19" spans="1:8" x14ac:dyDescent="0.25">
      <c r="A19" s="36"/>
      <c r="B19" s="36"/>
      <c r="C19" s="36"/>
      <c r="D19" s="36"/>
      <c r="E19" s="36" t="s">
        <v>106</v>
      </c>
      <c r="F19" s="37">
        <f>5831.04</f>
        <v>5831.04</v>
      </c>
      <c r="G19" t="s">
        <v>172</v>
      </c>
    </row>
    <row r="20" spans="1:8" x14ac:dyDescent="0.25">
      <c r="A20" s="36"/>
      <c r="B20" s="36"/>
      <c r="C20" s="36"/>
      <c r="D20" s="36"/>
      <c r="E20" s="36" t="s">
        <v>107</v>
      </c>
      <c r="F20" s="37">
        <v>0</v>
      </c>
    </row>
    <row r="21" spans="1:8" x14ac:dyDescent="0.25">
      <c r="A21" s="36"/>
      <c r="B21" s="36"/>
      <c r="C21" s="36"/>
      <c r="D21" s="36"/>
      <c r="E21" s="36" t="s">
        <v>108</v>
      </c>
      <c r="F21" s="37">
        <v>0</v>
      </c>
      <c r="G21">
        <v>7200</v>
      </c>
    </row>
    <row r="22" spans="1:8" x14ac:dyDescent="0.25">
      <c r="A22" s="36"/>
      <c r="B22" s="36"/>
      <c r="C22" s="36"/>
      <c r="D22" s="36"/>
      <c r="E22" s="36" t="s">
        <v>122</v>
      </c>
      <c r="F22" s="37">
        <v>0</v>
      </c>
    </row>
    <row r="23" spans="1:8" x14ac:dyDescent="0.25">
      <c r="A23" s="36"/>
      <c r="B23" s="36"/>
      <c r="C23" s="36"/>
      <c r="D23" s="36"/>
      <c r="E23" s="36" t="s">
        <v>119</v>
      </c>
      <c r="F23" s="37">
        <v>5275</v>
      </c>
      <c r="G23" t="s">
        <v>167</v>
      </c>
    </row>
    <row r="24" spans="1:8" x14ac:dyDescent="0.25">
      <c r="A24" s="36"/>
      <c r="B24" s="36"/>
      <c r="C24" s="36"/>
      <c r="D24" s="36"/>
      <c r="E24" s="36" t="s">
        <v>120</v>
      </c>
      <c r="F24" s="37">
        <v>0</v>
      </c>
    </row>
    <row r="25" spans="1:8" x14ac:dyDescent="0.25">
      <c r="A25" s="36"/>
      <c r="B25" s="36"/>
      <c r="C25" s="36"/>
      <c r="D25" s="36"/>
      <c r="E25" s="36" t="s">
        <v>109</v>
      </c>
      <c r="F25" s="37">
        <v>50</v>
      </c>
    </row>
    <row r="26" spans="1:8" x14ac:dyDescent="0.25">
      <c r="A26" s="36"/>
      <c r="B26" s="36"/>
      <c r="C26" s="36"/>
      <c r="D26" s="36"/>
      <c r="E26" s="36" t="s">
        <v>110</v>
      </c>
      <c r="F26" s="37">
        <v>0</v>
      </c>
      <c r="G26" t="s">
        <v>168</v>
      </c>
    </row>
    <row r="27" spans="1:8" x14ac:dyDescent="0.25">
      <c r="A27" s="36"/>
      <c r="B27" s="36"/>
      <c r="C27" s="36"/>
      <c r="D27" s="36"/>
      <c r="E27" s="36" t="s">
        <v>111</v>
      </c>
      <c r="F27" s="37">
        <v>0</v>
      </c>
    </row>
    <row r="28" spans="1:8" x14ac:dyDescent="0.25">
      <c r="A28" s="36"/>
      <c r="B28" s="36"/>
      <c r="C28" s="36"/>
      <c r="D28" s="36"/>
      <c r="E28" s="36" t="s">
        <v>198</v>
      </c>
      <c r="F28" s="37">
        <v>0</v>
      </c>
    </row>
    <row r="29" spans="1:8" x14ac:dyDescent="0.25">
      <c r="A29" s="36"/>
      <c r="B29" s="36"/>
      <c r="C29" s="36"/>
      <c r="D29" s="36"/>
      <c r="E29" s="36" t="s">
        <v>170</v>
      </c>
      <c r="F29" s="37">
        <v>0</v>
      </c>
    </row>
    <row r="30" spans="1:8" x14ac:dyDescent="0.25">
      <c r="A30" s="36"/>
      <c r="B30" s="36"/>
      <c r="C30" s="36"/>
      <c r="D30" s="36"/>
      <c r="E30" s="36" t="s">
        <v>171</v>
      </c>
      <c r="F30" s="37">
        <v>0</v>
      </c>
      <c r="G30" s="57"/>
    </row>
    <row r="31" spans="1:8" ht="15.75" thickBot="1" x14ac:dyDescent="0.3">
      <c r="A31" s="36"/>
      <c r="B31" s="36"/>
      <c r="C31" s="36"/>
      <c r="D31" s="36"/>
      <c r="E31" s="36"/>
      <c r="F31" s="37"/>
    </row>
    <row r="32" spans="1:8" ht="15.75" thickBot="1" x14ac:dyDescent="0.3">
      <c r="A32" s="36"/>
      <c r="B32" s="36"/>
      <c r="C32" s="36"/>
      <c r="D32" s="36" t="s">
        <v>112</v>
      </c>
      <c r="E32" s="36"/>
      <c r="F32" s="38">
        <f>ROUND(SUM(F14:F30),5)</f>
        <v>43615.43</v>
      </c>
    </row>
    <row r="33" spans="1:6" ht="15.75" thickBot="1" x14ac:dyDescent="0.3">
      <c r="A33" s="36"/>
      <c r="B33" s="36"/>
      <c r="C33" s="36" t="s">
        <v>113</v>
      </c>
      <c r="D33" s="36"/>
      <c r="E33" s="36"/>
      <c r="F33" s="38">
        <f>ROUND(F13+F32,5)</f>
        <v>43615.43</v>
      </c>
    </row>
    <row r="34" spans="1:6" s="42" customFormat="1" ht="12" thickBot="1" x14ac:dyDescent="0.25">
      <c r="A34" s="36" t="s">
        <v>114</v>
      </c>
      <c r="B34" s="36"/>
      <c r="C34" s="36"/>
      <c r="D34" s="36"/>
      <c r="E34" s="36"/>
      <c r="F34" s="41">
        <f>ROUND(F12-F33,5)</f>
        <v>-43615.43</v>
      </c>
    </row>
    <row r="35" spans="1:6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topLeftCell="A18" workbookViewId="0">
      <selection activeCell="F28" sqref="F28"/>
    </sheetView>
  </sheetViews>
  <sheetFormatPr defaultRowHeight="15" x14ac:dyDescent="0.25"/>
  <cols>
    <col min="1" max="4" width="3" style="42" customWidth="1"/>
    <col min="5" max="5" width="34.42578125" style="42" customWidth="1"/>
    <col min="6" max="6" width="10" bestFit="1" customWidth="1"/>
  </cols>
  <sheetData>
    <row r="1" spans="1:9" s="35" customFormat="1" ht="15.75" thickBot="1" x14ac:dyDescent="0.3">
      <c r="A1" s="33"/>
      <c r="B1" s="33"/>
      <c r="C1" s="33"/>
      <c r="D1" s="33"/>
      <c r="E1" s="33"/>
      <c r="F1" s="34" t="s">
        <v>115</v>
      </c>
    </row>
    <row r="2" spans="1:9" ht="15.75" thickTop="1" x14ac:dyDescent="0.25">
      <c r="A2" s="36"/>
      <c r="B2" s="36"/>
      <c r="C2" s="36" t="s">
        <v>95</v>
      </c>
      <c r="D2" s="36"/>
      <c r="E2" s="36"/>
      <c r="F2" s="37"/>
    </row>
    <row r="3" spans="1:9" x14ac:dyDescent="0.25">
      <c r="A3" s="36"/>
      <c r="B3" s="36"/>
      <c r="C3" s="36"/>
      <c r="D3" s="36" t="s">
        <v>96</v>
      </c>
      <c r="E3" s="36"/>
      <c r="F3" s="37"/>
    </row>
    <row r="4" spans="1:9" x14ac:dyDescent="0.25">
      <c r="A4" s="36"/>
      <c r="B4" s="36"/>
      <c r="C4" s="36"/>
      <c r="D4" s="36"/>
      <c r="E4" s="36" t="s">
        <v>97</v>
      </c>
      <c r="F4" s="37"/>
    </row>
    <row r="5" spans="1:9" ht="15.75" thickBot="1" x14ac:dyDescent="0.3">
      <c r="A5" s="36"/>
      <c r="B5" s="36"/>
      <c r="C5" s="36"/>
      <c r="D5" s="36"/>
      <c r="E5" s="36" t="s">
        <v>116</v>
      </c>
      <c r="F5" s="37"/>
    </row>
    <row r="6" spans="1:9" x14ac:dyDescent="0.25">
      <c r="A6" s="36"/>
      <c r="B6" s="36"/>
      <c r="C6" s="36"/>
      <c r="D6" s="36" t="s">
        <v>98</v>
      </c>
      <c r="E6" s="36"/>
      <c r="F6" s="38"/>
      <c r="G6" t="s">
        <v>169</v>
      </c>
      <c r="H6" t="s">
        <v>194</v>
      </c>
    </row>
    <row r="7" spans="1:9" x14ac:dyDescent="0.25">
      <c r="A7" s="36"/>
      <c r="B7" s="36"/>
      <c r="C7" s="36"/>
      <c r="D7" s="36"/>
      <c r="E7" s="36" t="s">
        <v>121</v>
      </c>
      <c r="F7" s="37"/>
      <c r="G7">
        <v>0</v>
      </c>
      <c r="I7">
        <f>Budget!F32+Budget!F33</f>
        <v>0</v>
      </c>
    </row>
    <row r="8" spans="1:9" x14ac:dyDescent="0.25">
      <c r="A8" s="36"/>
      <c r="B8" s="36"/>
      <c r="C8" s="36"/>
      <c r="D8" s="36"/>
      <c r="E8" s="36" t="s">
        <v>117</v>
      </c>
      <c r="F8" s="37"/>
    </row>
    <row r="9" spans="1:9" x14ac:dyDescent="0.25">
      <c r="A9" s="36"/>
      <c r="B9" s="36"/>
      <c r="C9" s="36"/>
      <c r="D9" s="36"/>
      <c r="E9" s="36" t="s">
        <v>7</v>
      </c>
      <c r="F9" s="37"/>
    </row>
    <row r="10" spans="1:9" ht="15.75" thickBot="1" x14ac:dyDescent="0.3">
      <c r="A10" s="36"/>
      <c r="B10" s="36"/>
      <c r="C10" s="36"/>
      <c r="D10" s="36"/>
      <c r="E10" s="36" t="s">
        <v>173</v>
      </c>
      <c r="F10" s="37"/>
    </row>
    <row r="11" spans="1:9" ht="15.75" thickBot="1" x14ac:dyDescent="0.3">
      <c r="A11" s="36"/>
      <c r="B11" s="36"/>
      <c r="C11" s="36" t="s">
        <v>99</v>
      </c>
      <c r="D11" s="36"/>
      <c r="E11" s="36"/>
      <c r="F11" s="39"/>
    </row>
    <row r="12" spans="1:9" x14ac:dyDescent="0.25">
      <c r="A12" s="36"/>
      <c r="B12" s="36" t="s">
        <v>100</v>
      </c>
      <c r="C12" s="36"/>
      <c r="D12" s="36"/>
      <c r="E12" s="36"/>
      <c r="F12" s="37"/>
    </row>
    <row r="13" spans="1:9" x14ac:dyDescent="0.25">
      <c r="A13" s="36"/>
      <c r="B13" s="36"/>
      <c r="C13" s="36" t="s">
        <v>101</v>
      </c>
      <c r="D13" s="36"/>
      <c r="E13" s="36"/>
      <c r="F13" s="37"/>
    </row>
    <row r="14" spans="1:9" x14ac:dyDescent="0.25">
      <c r="A14" s="36"/>
      <c r="B14" s="36"/>
      <c r="C14" s="36"/>
      <c r="D14" s="36" t="s">
        <v>102</v>
      </c>
      <c r="E14" s="36"/>
      <c r="F14" s="37"/>
    </row>
    <row r="15" spans="1:9" x14ac:dyDescent="0.25">
      <c r="A15" s="36"/>
      <c r="B15" s="36"/>
      <c r="C15" s="36"/>
      <c r="D15" s="36"/>
      <c r="E15" s="36" t="s">
        <v>103</v>
      </c>
      <c r="F15" s="37"/>
      <c r="G15" s="55">
        <f>'Balance Sheet'!E18-'Balance Sheet'!E40</f>
        <v>0</v>
      </c>
    </row>
    <row r="16" spans="1:9" x14ac:dyDescent="0.25">
      <c r="A16" s="36"/>
      <c r="B16" s="36"/>
      <c r="C16" s="36"/>
      <c r="D16" s="36"/>
      <c r="E16" s="36" t="s">
        <v>118</v>
      </c>
      <c r="F16" s="37"/>
    </row>
    <row r="17" spans="1:8" x14ac:dyDescent="0.25">
      <c r="A17" s="36"/>
      <c r="B17" s="36"/>
      <c r="C17" s="36"/>
      <c r="D17" s="36"/>
      <c r="E17" s="36" t="s">
        <v>104</v>
      </c>
      <c r="F17" s="37"/>
      <c r="H17" s="63"/>
    </row>
    <row r="18" spans="1:8" x14ac:dyDescent="0.25">
      <c r="A18" s="36"/>
      <c r="B18" s="36"/>
      <c r="C18" s="36"/>
      <c r="D18" s="36"/>
      <c r="E18" s="36" t="s">
        <v>105</v>
      </c>
      <c r="F18" s="37"/>
    </row>
    <row r="19" spans="1:8" x14ac:dyDescent="0.25">
      <c r="A19" s="36"/>
      <c r="B19" s="36"/>
      <c r="C19" s="36"/>
      <c r="D19" s="36"/>
      <c r="E19" s="36" t="s">
        <v>106</v>
      </c>
      <c r="F19" s="37"/>
      <c r="G19" t="s">
        <v>172</v>
      </c>
    </row>
    <row r="20" spans="1:8" x14ac:dyDescent="0.25">
      <c r="A20" s="36"/>
      <c r="B20" s="36"/>
      <c r="C20" s="36"/>
      <c r="D20" s="36"/>
      <c r="E20" s="36" t="s">
        <v>107</v>
      </c>
      <c r="F20" s="37"/>
    </row>
    <row r="21" spans="1:8" x14ac:dyDescent="0.25">
      <c r="A21" s="36"/>
      <c r="B21" s="36"/>
      <c r="C21" s="36"/>
      <c r="D21" s="36"/>
      <c r="E21" s="36" t="s">
        <v>108</v>
      </c>
      <c r="F21" s="37"/>
      <c r="G21">
        <v>7200</v>
      </c>
    </row>
    <row r="22" spans="1:8" x14ac:dyDescent="0.25">
      <c r="A22" s="36"/>
      <c r="B22" s="36"/>
      <c r="C22" s="36"/>
      <c r="D22" s="36"/>
      <c r="E22" s="36" t="s">
        <v>122</v>
      </c>
      <c r="F22" s="37"/>
    </row>
    <row r="23" spans="1:8" x14ac:dyDescent="0.25">
      <c r="A23" s="36"/>
      <c r="B23" s="36"/>
      <c r="C23" s="36"/>
      <c r="D23" s="36"/>
      <c r="E23" s="36" t="s">
        <v>119</v>
      </c>
      <c r="F23" s="37"/>
      <c r="G23" t="s">
        <v>167</v>
      </c>
    </row>
    <row r="24" spans="1:8" x14ac:dyDescent="0.25">
      <c r="A24" s="36"/>
      <c r="B24" s="36"/>
      <c r="C24" s="36"/>
      <c r="D24" s="36"/>
      <c r="E24" s="36" t="s">
        <v>120</v>
      </c>
      <c r="F24" s="37"/>
    </row>
    <row r="25" spans="1:8" x14ac:dyDescent="0.25">
      <c r="A25" s="36"/>
      <c r="B25" s="36"/>
      <c r="C25" s="36"/>
      <c r="D25" s="36"/>
      <c r="E25" s="36" t="s">
        <v>109</v>
      </c>
      <c r="F25" s="37"/>
    </row>
    <row r="26" spans="1:8" x14ac:dyDescent="0.25">
      <c r="A26" s="36"/>
      <c r="B26" s="36"/>
      <c r="C26" s="36"/>
      <c r="D26" s="36"/>
      <c r="E26" s="36" t="s">
        <v>110</v>
      </c>
      <c r="F26" s="37"/>
      <c r="G26" t="s">
        <v>168</v>
      </c>
    </row>
    <row r="27" spans="1:8" x14ac:dyDescent="0.25">
      <c r="A27" s="36"/>
      <c r="B27" s="36"/>
      <c r="C27" s="36"/>
      <c r="D27" s="36"/>
      <c r="E27" s="36" t="s">
        <v>111</v>
      </c>
      <c r="F27" s="37"/>
    </row>
    <row r="28" spans="1:8" x14ac:dyDescent="0.25">
      <c r="A28" s="36"/>
      <c r="B28" s="36"/>
      <c r="C28" s="36"/>
      <c r="D28" s="36"/>
      <c r="E28" s="36" t="s">
        <v>198</v>
      </c>
      <c r="F28" s="37"/>
    </row>
    <row r="29" spans="1:8" x14ac:dyDescent="0.25">
      <c r="A29" s="36"/>
      <c r="B29" s="36"/>
      <c r="C29" s="36"/>
      <c r="D29" s="36"/>
      <c r="E29" s="36" t="s">
        <v>170</v>
      </c>
      <c r="F29" s="37"/>
    </row>
    <row r="30" spans="1:8" x14ac:dyDescent="0.25">
      <c r="A30" s="36"/>
      <c r="B30" s="36"/>
      <c r="C30" s="36"/>
      <c r="D30" s="36"/>
      <c r="E30" s="36" t="s">
        <v>171</v>
      </c>
      <c r="F30" s="37"/>
      <c r="G30" s="57"/>
    </row>
    <row r="31" spans="1:8" ht="15.75" thickBot="1" x14ac:dyDescent="0.3">
      <c r="A31" s="36"/>
      <c r="B31" s="36"/>
      <c r="C31" s="36"/>
      <c r="D31" s="36"/>
      <c r="E31" s="36"/>
      <c r="F31" s="37"/>
    </row>
    <row r="32" spans="1:8" ht="15.75" thickBot="1" x14ac:dyDescent="0.3">
      <c r="A32" s="36"/>
      <c r="B32" s="36"/>
      <c r="C32" s="36"/>
      <c r="D32" s="36" t="s">
        <v>112</v>
      </c>
      <c r="E32" s="36"/>
      <c r="F32" s="38"/>
    </row>
    <row r="33" spans="1:6" ht="15.75" thickBot="1" x14ac:dyDescent="0.3">
      <c r="A33" s="36"/>
      <c r="B33" s="36"/>
      <c r="C33" s="36" t="s">
        <v>113</v>
      </c>
      <c r="D33" s="36"/>
      <c r="E33" s="36"/>
      <c r="F33" s="38"/>
    </row>
    <row r="34" spans="1:6" s="42" customFormat="1" ht="12" thickBot="1" x14ac:dyDescent="0.25">
      <c r="A34" s="36" t="s">
        <v>114</v>
      </c>
      <c r="B34" s="36"/>
      <c r="C34" s="36"/>
      <c r="D34" s="36"/>
      <c r="E34" s="36"/>
      <c r="F34" s="41"/>
    </row>
    <row r="35" spans="1:6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15" workbookViewId="0">
      <selection activeCell="F20" sqref="F20"/>
    </sheetView>
  </sheetViews>
  <sheetFormatPr defaultRowHeight="15" x14ac:dyDescent="0.25"/>
  <cols>
    <col min="1" max="4" width="3" style="42" customWidth="1"/>
    <col min="5" max="5" width="34.42578125" style="42" customWidth="1"/>
    <col min="6" max="6" width="13.28515625" customWidth="1"/>
    <col min="7" max="7" width="9.85546875" bestFit="1" customWidth="1"/>
  </cols>
  <sheetData>
    <row r="1" spans="1:7" s="35" customFormat="1" ht="15.75" thickBot="1" x14ac:dyDescent="0.3">
      <c r="A1" s="33"/>
      <c r="B1" s="33"/>
      <c r="C1" s="33"/>
      <c r="D1" s="33"/>
      <c r="E1" s="33"/>
      <c r="F1" s="34" t="s">
        <v>115</v>
      </c>
    </row>
    <row r="2" spans="1:7" ht="15.75" thickTop="1" x14ac:dyDescent="0.25">
      <c r="A2" s="36"/>
      <c r="B2" s="36"/>
      <c r="C2" s="36" t="s">
        <v>95</v>
      </c>
      <c r="D2" s="36"/>
      <c r="E2" s="36"/>
      <c r="F2" s="37"/>
    </row>
    <row r="3" spans="1:7" x14ac:dyDescent="0.25">
      <c r="A3" s="36"/>
      <c r="B3" s="36"/>
      <c r="C3" s="36"/>
      <c r="D3" s="36" t="s">
        <v>96</v>
      </c>
      <c r="E3" s="36"/>
      <c r="F3" s="37"/>
    </row>
    <row r="4" spans="1:7" x14ac:dyDescent="0.25">
      <c r="A4" s="36"/>
      <c r="B4" s="36"/>
      <c r="C4" s="36"/>
      <c r="D4" s="36"/>
      <c r="E4" s="36" t="s">
        <v>97</v>
      </c>
      <c r="F4" s="37">
        <f>1123843-F5</f>
        <v>963494</v>
      </c>
    </row>
    <row r="5" spans="1:7" ht="15.75" thickBot="1" x14ac:dyDescent="0.3">
      <c r="A5" s="36"/>
      <c r="B5" s="36"/>
      <c r="C5" s="36"/>
      <c r="D5" s="36"/>
      <c r="E5" s="36" t="s">
        <v>116</v>
      </c>
      <c r="F5" s="37">
        <v>160349</v>
      </c>
    </row>
    <row r="6" spans="1:7" x14ac:dyDescent="0.25">
      <c r="A6" s="36"/>
      <c r="B6" s="36"/>
      <c r="C6" s="36"/>
      <c r="D6" s="36" t="s">
        <v>98</v>
      </c>
      <c r="E6" s="36"/>
      <c r="F6" s="38">
        <f>ROUND(SUM(F3:F5),5)</f>
        <v>1123843</v>
      </c>
    </row>
    <row r="7" spans="1:7" x14ac:dyDescent="0.25">
      <c r="A7" s="36"/>
      <c r="B7" s="36"/>
      <c r="C7" s="36"/>
      <c r="D7" s="36"/>
      <c r="E7" s="36" t="s">
        <v>121</v>
      </c>
      <c r="F7" s="37">
        <f>75128.51+23004</f>
        <v>98132.51</v>
      </c>
    </row>
    <row r="8" spans="1:7" x14ac:dyDescent="0.25">
      <c r="A8" s="36"/>
      <c r="B8" s="36"/>
      <c r="C8" s="36"/>
      <c r="D8" s="36"/>
      <c r="E8" s="36" t="s">
        <v>117</v>
      </c>
      <c r="F8" s="37">
        <v>322803.45</v>
      </c>
    </row>
    <row r="9" spans="1:7" x14ac:dyDescent="0.25">
      <c r="A9" s="36"/>
      <c r="B9" s="36"/>
      <c r="C9" s="36"/>
      <c r="D9" s="36"/>
      <c r="E9" s="36" t="s">
        <v>173</v>
      </c>
      <c r="F9" s="37">
        <v>0</v>
      </c>
    </row>
    <row r="10" spans="1:7" ht="15.75" thickBot="1" x14ac:dyDescent="0.3">
      <c r="A10" s="36"/>
      <c r="B10" s="36"/>
      <c r="C10" s="36"/>
      <c r="D10" s="36"/>
      <c r="E10" s="36" t="s">
        <v>7</v>
      </c>
      <c r="F10" s="37">
        <v>0</v>
      </c>
    </row>
    <row r="11" spans="1:7" ht="15.75" thickBot="1" x14ac:dyDescent="0.3">
      <c r="A11" s="36"/>
      <c r="B11" s="36"/>
      <c r="C11" s="36" t="s">
        <v>99</v>
      </c>
      <c r="D11" s="36"/>
      <c r="E11" s="36"/>
      <c r="F11" s="39">
        <f>ROUND(+F6+F7+F9+F8+F10,5)</f>
        <v>1544778.96</v>
      </c>
    </row>
    <row r="12" spans="1:7" x14ac:dyDescent="0.25">
      <c r="A12" s="36"/>
      <c r="B12" s="36" t="s">
        <v>100</v>
      </c>
      <c r="C12" s="36"/>
      <c r="D12" s="36"/>
      <c r="E12" s="36"/>
      <c r="F12" s="37">
        <f>F11</f>
        <v>1544778.96</v>
      </c>
      <c r="G12" s="32"/>
    </row>
    <row r="13" spans="1:7" x14ac:dyDescent="0.25">
      <c r="A13" s="36"/>
      <c r="B13" s="36"/>
      <c r="C13" s="36" t="s">
        <v>101</v>
      </c>
      <c r="D13" s="36"/>
      <c r="E13" s="36"/>
      <c r="F13" s="37"/>
    </row>
    <row r="14" spans="1:7" x14ac:dyDescent="0.25">
      <c r="A14" s="36"/>
      <c r="B14" s="36"/>
      <c r="C14" s="36"/>
      <c r="D14" s="36" t="s">
        <v>102</v>
      </c>
      <c r="E14" s="36"/>
      <c r="F14" s="37"/>
    </row>
    <row r="15" spans="1:7" x14ac:dyDescent="0.25">
      <c r="A15" s="36"/>
      <c r="B15" s="36"/>
      <c r="C15" s="36"/>
      <c r="D15" s="36"/>
      <c r="E15" s="36" t="s">
        <v>103</v>
      </c>
      <c r="F15" s="37">
        <v>601333</v>
      </c>
    </row>
    <row r="16" spans="1:7" x14ac:dyDescent="0.25">
      <c r="A16" s="36"/>
      <c r="B16" s="36"/>
      <c r="C16" s="36"/>
      <c r="D16" s="36"/>
      <c r="E16" s="36" t="s">
        <v>118</v>
      </c>
      <c r="F16" s="37">
        <v>0</v>
      </c>
    </row>
    <row r="17" spans="1:6" x14ac:dyDescent="0.25">
      <c r="A17" s="36"/>
      <c r="B17" s="36"/>
      <c r="C17" s="36"/>
      <c r="D17" s="36"/>
      <c r="E17" s="36" t="s">
        <v>104</v>
      </c>
      <c r="F17" s="37">
        <f>3905+1420+1200+639</f>
        <v>7164</v>
      </c>
    </row>
    <row r="18" spans="1:6" x14ac:dyDescent="0.25">
      <c r="A18" s="36"/>
      <c r="B18" s="36"/>
      <c r="C18" s="36"/>
      <c r="D18" s="36"/>
      <c r="E18" s="36" t="s">
        <v>105</v>
      </c>
      <c r="F18" s="37">
        <v>12120</v>
      </c>
    </row>
    <row r="19" spans="1:6" x14ac:dyDescent="0.25">
      <c r="A19" s="36"/>
      <c r="B19" s="36"/>
      <c r="C19" s="36"/>
      <c r="D19" s="36"/>
      <c r="E19" s="36" t="s">
        <v>106</v>
      </c>
      <c r="F19" s="37">
        <f>136828+15500</f>
        <v>152328</v>
      </c>
    </row>
    <row r="20" spans="1:6" x14ac:dyDescent="0.25">
      <c r="A20" s="36"/>
      <c r="B20" s="36"/>
      <c r="C20" s="36"/>
      <c r="D20" s="36"/>
      <c r="E20" s="36" t="s">
        <v>107</v>
      </c>
      <c r="F20" s="37">
        <v>264000</v>
      </c>
    </row>
    <row r="21" spans="1:6" x14ac:dyDescent="0.25">
      <c r="A21" s="36"/>
      <c r="B21" s="36"/>
      <c r="C21" s="36"/>
      <c r="D21" s="36"/>
      <c r="E21" s="36" t="s">
        <v>108</v>
      </c>
      <c r="F21" s="37">
        <v>223453.31</v>
      </c>
    </row>
    <row r="22" spans="1:6" x14ac:dyDescent="0.25">
      <c r="A22" s="36"/>
      <c r="B22" s="36"/>
      <c r="C22" s="36"/>
      <c r="D22" s="36"/>
      <c r="E22" s="36" t="s">
        <v>119</v>
      </c>
      <c r="F22" s="37">
        <v>0</v>
      </c>
    </row>
    <row r="23" spans="1:6" x14ac:dyDescent="0.25">
      <c r="A23" s="36"/>
      <c r="B23" s="36"/>
      <c r="C23" s="36"/>
      <c r="D23" s="36"/>
      <c r="E23" s="36" t="s">
        <v>120</v>
      </c>
      <c r="F23" s="37">
        <v>25920</v>
      </c>
    </row>
    <row r="24" spans="1:6" x14ac:dyDescent="0.25">
      <c r="A24" s="36"/>
      <c r="B24" s="36"/>
      <c r="C24" s="36"/>
      <c r="D24" s="36"/>
      <c r="E24" s="36" t="s">
        <v>109</v>
      </c>
      <c r="F24" s="37">
        <v>133200</v>
      </c>
    </row>
    <row r="25" spans="1:6" x14ac:dyDescent="0.25">
      <c r="A25" s="36"/>
      <c r="B25" s="36"/>
      <c r="C25" s="36"/>
      <c r="D25" s="36"/>
      <c r="E25" s="36" t="s">
        <v>110</v>
      </c>
      <c r="F25" s="37">
        <v>9000</v>
      </c>
    </row>
    <row r="26" spans="1:6" ht="15.75" thickBot="1" x14ac:dyDescent="0.3">
      <c r="A26" s="36"/>
      <c r="B26" s="36"/>
      <c r="C26" s="36"/>
      <c r="D26" s="36"/>
      <c r="E26" s="36" t="s">
        <v>111</v>
      </c>
      <c r="F26" s="37">
        <v>2800</v>
      </c>
    </row>
    <row r="27" spans="1:6" ht="15.75" thickBot="1" x14ac:dyDescent="0.3">
      <c r="A27" s="36"/>
      <c r="B27" s="36"/>
      <c r="C27" s="36"/>
      <c r="D27" s="36" t="s">
        <v>112</v>
      </c>
      <c r="E27" s="36"/>
      <c r="F27" s="38">
        <f>ROUND(SUM(F14:F26),5)</f>
        <v>1431318.31</v>
      </c>
    </row>
    <row r="28" spans="1:6" ht="15.75" thickBot="1" x14ac:dyDescent="0.3">
      <c r="A28" s="36"/>
      <c r="B28" s="36"/>
      <c r="C28" s="36" t="s">
        <v>113</v>
      </c>
      <c r="D28" s="36"/>
      <c r="E28" s="36"/>
      <c r="F28" s="38">
        <f>ROUND(F13+F27,5)</f>
        <v>1431318.31</v>
      </c>
    </row>
    <row r="29" spans="1:6" s="42" customFormat="1" ht="12" thickBot="1" x14ac:dyDescent="0.25">
      <c r="A29" s="36" t="s">
        <v>114</v>
      </c>
      <c r="B29" s="36"/>
      <c r="C29" s="36"/>
      <c r="D29" s="36"/>
      <c r="E29" s="36"/>
      <c r="F29" s="41">
        <f>ROUND(F12-F28,5)</f>
        <v>113460.65</v>
      </c>
    </row>
    <row r="30" spans="1:6" ht="15.75" thickTop="1" x14ac:dyDescent="0.25"/>
    <row r="31" spans="1:6" x14ac:dyDescent="0.25">
      <c r="E31" s="42" t="s">
        <v>121</v>
      </c>
    </row>
    <row r="32" spans="1:6" x14ac:dyDescent="0.25">
      <c r="E32" s="42">
        <v>5100</v>
      </c>
      <c r="F32">
        <v>0</v>
      </c>
    </row>
    <row r="33" spans="5:6" x14ac:dyDescent="0.25">
      <c r="E33" s="42">
        <v>6000</v>
      </c>
      <c r="F33">
        <v>0</v>
      </c>
    </row>
    <row r="34" spans="5:6" x14ac:dyDescent="0.25">
      <c r="E34" s="42">
        <v>7600</v>
      </c>
      <c r="F34">
        <v>97910.52</v>
      </c>
    </row>
    <row r="35" spans="5:6" x14ac:dyDescent="0.25">
      <c r="E35" s="42">
        <v>9100</v>
      </c>
    </row>
    <row r="37" spans="5:6" x14ac:dyDescent="0.25">
      <c r="F37">
        <f>SUM(F32:F36)</f>
        <v>97910.52</v>
      </c>
    </row>
    <row r="39" spans="5:6" x14ac:dyDescent="0.25">
      <c r="F39" s="64">
        <f>F29-F32-F33-F34</f>
        <v>15550.12999999999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Sheet</vt:lpstr>
      <vt:lpstr>BS</vt:lpstr>
      <vt:lpstr>Stmt of Rev, Exp, and Fund Bal</vt:lpstr>
      <vt:lpstr>Other Assets</vt:lpstr>
      <vt:lpstr>AP Detail</vt:lpstr>
      <vt:lpstr>IS Current</vt:lpstr>
      <vt:lpstr>IS Previous</vt:lpstr>
      <vt:lpstr>Budget</vt:lpstr>
    </vt:vector>
  </TitlesOfParts>
  <Company>Leona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Lindemann, Renee</dc:creator>
  <cp:lastModifiedBy>Kevin Lugar</cp:lastModifiedBy>
  <dcterms:created xsi:type="dcterms:W3CDTF">2017-03-09T17:10:27Z</dcterms:created>
  <dcterms:modified xsi:type="dcterms:W3CDTF">2022-09-30T15:57:08Z</dcterms:modified>
</cp:coreProperties>
</file>