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6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p\Back Office Dropbox\Jarry Haider\A charters\Brightview\10. Mar 2023\"/>
    </mc:Choice>
  </mc:AlternateContent>
  <xr:revisionPtr revIDLastSave="0" documentId="8_{AE0BB24F-D06C-4F7D-9340-E65CC7B436B5}" xr6:coauthVersionLast="47" xr6:coauthVersionMax="47" xr10:uidLastSave="{00000000-0000-0000-0000-000000000000}"/>
  <bookViews>
    <workbookView xWindow="-120" yWindow="-120" windowWidth="20730" windowHeight="11160" tabRatio="733" activeTab="6" xr2:uid="{E9068DE4-B382-4B0D-A4DA-A6CAFB5548F3}"/>
  </bookViews>
  <sheets>
    <sheet name="Balance Sheet" sheetId="30" r:id="rId1"/>
    <sheet name="Stmt of Rev, Exp, and Fund Bal" sheetId="31" r:id="rId2"/>
    <sheet name="Balance Sheet Mar 2023" sheetId="4" r:id="rId3"/>
    <sheet name="P&amp;L Mar 2023" sheetId="32" r:id="rId4"/>
    <sheet name="Payable Aging" sheetId="88" r:id="rId5"/>
    <sheet name="Accrued Liabilities" sheetId="98" r:id="rId6"/>
    <sheet name="Receivable Aging" sheetId="56" r:id="rId7"/>
    <sheet name="Receivable Detail" sheetId="99" r:id="rId8"/>
  </sheets>
  <definedNames>
    <definedName name="_xlnm._FilterDatabase" localSheetId="3" hidden="1">'P&amp;L Mar 2023'!$E$1:$X$78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'Balance Sheet'!$A$1:$O$40</definedName>
    <definedName name="_xlnm.Print_Area" localSheetId="2">'Balance Sheet Mar 2023'!$A$1:$F$34</definedName>
    <definedName name="_xlnm.Print_Area" localSheetId="3">'P&amp;L Mar 2023'!$A$1:$X$78</definedName>
    <definedName name="_xlnm.Print_Area" localSheetId="1">'Stmt of Rev, Exp, and Fund Bal'!$A$1:$AD$64</definedName>
    <definedName name="_xlnm.Print_Titles" localSheetId="5">'Accrued Liabilities'!$A:$B,'Accrued Liabilities'!$1:$1</definedName>
    <definedName name="_xlnm.Print_Titles" localSheetId="3">'P&amp;L Mar 2023'!$A:$E,'P&amp;L Mar 2023'!$1:$1</definedName>
    <definedName name="_xlnm.Print_Titles" localSheetId="4">'Payable Aging'!$E:$E,'Payable Aging'!$1:$1</definedName>
    <definedName name="_xlnm.Print_Titles" localSheetId="6">'Receivable Aging'!$A:$E,'Receivable Aging'!$1:$1</definedName>
    <definedName name="_xlnm.Print_Titles" localSheetId="7">'Receivable Detail'!$A:$B,'Receivable Detail'!$1:$1</definedName>
    <definedName name="_xlnm.Print_Titles" localSheetId="1">'Stmt of Rev, Exp, and Fund Bal'!$A:$C,'Stmt of Rev, Exp, and Fund Bal'!$1:$4</definedName>
    <definedName name="QB_COLUMN_1" localSheetId="5" hidden="1">'Accrued Liabilities'!$C$1</definedName>
    <definedName name="QB_COLUMN_1" localSheetId="7" hidden="1">'Receivable Detail'!$C$1</definedName>
    <definedName name="QB_COLUMN_17" localSheetId="5" hidden="1">'Accrued Liabilities'!$O$1</definedName>
    <definedName name="QB_COLUMN_17" localSheetId="7" hidden="1">'Receivable Detail'!$O$1</definedName>
    <definedName name="QB_COLUMN_19" localSheetId="5" hidden="1">'Accrued Liabilities'!$Q$1</definedName>
    <definedName name="QB_COLUMN_19" localSheetId="7" hidden="1">'Receivable Detail'!$Q$1</definedName>
    <definedName name="QB_COLUMN_20" localSheetId="5" hidden="1">'Accrued Liabilities'!$S$1</definedName>
    <definedName name="QB_COLUMN_20" localSheetId="7" hidden="1">'Receivable Detail'!$S$1</definedName>
    <definedName name="QB_COLUMN_29" localSheetId="2" hidden="1">'Balance Sheet Mar 2023'!$F$1</definedName>
    <definedName name="QB_COLUMN_2921" localSheetId="3" hidden="1">'P&amp;L Mar 2023'!$F$1</definedName>
    <definedName name="QB_COLUMN_29210" localSheetId="3" hidden="1">'P&amp;L Mar 2023'!$O$1</definedName>
    <definedName name="QB_COLUMN_29211" localSheetId="3" hidden="1">'P&amp;L Mar 2023'!$P$1</definedName>
    <definedName name="QB_COLUMN_2922" localSheetId="3" hidden="1">'P&amp;L Mar 2023'!$G$1</definedName>
    <definedName name="QB_COLUMN_2923" localSheetId="3" hidden="1">'P&amp;L Mar 2023'!$H$1</definedName>
    <definedName name="QB_COLUMN_2924" localSheetId="3" hidden="1">'P&amp;L Mar 2023'!$I$1</definedName>
    <definedName name="QB_COLUMN_2925" localSheetId="3" hidden="1">'P&amp;L Mar 2023'!$J$1</definedName>
    <definedName name="QB_COLUMN_2926" localSheetId="3" hidden="1">'P&amp;L Mar 2023'!$K$1</definedName>
    <definedName name="QB_COLUMN_2927" localSheetId="3" hidden="1">'P&amp;L Mar 2023'!$L$1</definedName>
    <definedName name="QB_COLUMN_2928" localSheetId="3" hidden="1">'P&amp;L Mar 2023'!$M$1</definedName>
    <definedName name="QB_COLUMN_2929" localSheetId="3" hidden="1">'P&amp;L Mar 2023'!$N$1</definedName>
    <definedName name="QB_COLUMN_2930" localSheetId="3" hidden="1">'P&amp;L Mar 2023'!$X$1</definedName>
    <definedName name="QB_COLUMN_3" localSheetId="5" hidden="1">'Accrued Liabilities'!$E$1</definedName>
    <definedName name="QB_COLUMN_3" localSheetId="7" hidden="1">'Receivable Detail'!$E$1</definedName>
    <definedName name="QB_COLUMN_30" localSheetId="5" hidden="1">'Accrued Liabilities'!$U$1</definedName>
    <definedName name="QB_COLUMN_30" localSheetId="7" hidden="1">'Receivable Detail'!$U$1</definedName>
    <definedName name="QB_COLUMN_31" localSheetId="5" hidden="1">'Accrued Liabilities'!$W$1</definedName>
    <definedName name="QB_COLUMN_31" localSheetId="7" hidden="1">'Receivable Detail'!$W$1</definedName>
    <definedName name="QB_COLUMN_4" localSheetId="5" hidden="1">'Accrued Liabilities'!$G$1</definedName>
    <definedName name="QB_COLUMN_4" localSheetId="7" hidden="1">'Receivable Detail'!$G$1</definedName>
    <definedName name="QB_COLUMN_5" localSheetId="5" hidden="1">'Accrued Liabilities'!$I$1</definedName>
    <definedName name="QB_COLUMN_5" localSheetId="7" hidden="1">'Receivable Detail'!$I$1</definedName>
    <definedName name="QB_COLUMN_7" localSheetId="5" hidden="1">'Accrued Liabilities'!$K$1</definedName>
    <definedName name="QB_COLUMN_7" localSheetId="7" hidden="1">'Receivable Detail'!$K$1</definedName>
    <definedName name="QB_COLUMN_7721" localSheetId="4" hidden="1">'Payable Aging'!$F$1</definedName>
    <definedName name="QB_COLUMN_7721" localSheetId="6" hidden="1">'Receivable Aging'!$F$1</definedName>
    <definedName name="QB_COLUMN_7722" localSheetId="4" hidden="1">'Payable Aging'!$H$1</definedName>
    <definedName name="QB_COLUMN_7722" localSheetId="6" hidden="1">'Receivable Aging'!$H$1</definedName>
    <definedName name="QB_COLUMN_7723" localSheetId="4" hidden="1">'Payable Aging'!$J$1</definedName>
    <definedName name="QB_COLUMN_7723" localSheetId="6" hidden="1">'Receivable Aging'!$J$1</definedName>
    <definedName name="QB_COLUMN_7724" localSheetId="4" hidden="1">'Payable Aging'!$L$1</definedName>
    <definedName name="QB_COLUMN_7724" localSheetId="6" hidden="1">'Receivable Aging'!$L$1</definedName>
    <definedName name="QB_COLUMN_7725" localSheetId="4" hidden="1">'Payable Aging'!$N$1</definedName>
    <definedName name="QB_COLUMN_7725" localSheetId="6" hidden="1">'Receivable Aging'!$N$1</definedName>
    <definedName name="QB_COLUMN_8" localSheetId="5" hidden="1">'Accrued Liabilities'!$M$1</definedName>
    <definedName name="QB_COLUMN_8" localSheetId="7" hidden="1">'Receivable Detail'!$M$1</definedName>
    <definedName name="QB_COLUMN_8030" localSheetId="4" hidden="1">'Payable Aging'!$P$1</definedName>
    <definedName name="QB_COLUMN_8030" localSheetId="6" hidden="1">'Receivable Aging'!$P$1</definedName>
    <definedName name="QB_DATA_0" localSheetId="5" hidden="1">'Accrued Liabilities'!$3:$3,'Accrued Liabilities'!$4:$4,'Accrued Liabilities'!$5:$5,'Accrued Liabilities'!$6:$6,'Accrued Liabilities'!$7:$7</definedName>
    <definedName name="QB_DATA_0" localSheetId="2" hidden="1">'Balance Sheet Mar 2023'!$4:$4,'Balance Sheet Mar 2023'!$7:$7,'Balance Sheet Mar 2023'!$11:$11,'Balance Sheet Mar 2023'!$19:$19,'Balance Sheet Mar 2023'!$22:$22,'Balance Sheet Mar 2023'!$23:$23,'Balance Sheet Mar 2023'!$25:$25,'Balance Sheet Mar 2023'!$26:$26,'Balance Sheet Mar 2023'!$31:$31</definedName>
    <definedName name="QB_DATA_0" localSheetId="3" hidden="1">'P&amp;L Mar 2023'!$5:$5,'P&amp;L Mar 2023'!$6:$6,'P&amp;L Mar 2023'!$7:$7,'P&amp;L Mar 2023'!$9:$9,'P&amp;L Mar 2023'!$10:$10,'P&amp;L Mar 2023'!$11:$11,'P&amp;L Mar 2023'!$13:$13,'P&amp;L Mar 2023'!$15:$15,'P&amp;L Mar 2023'!$19:$19,'P&amp;L Mar 2023'!$21:$21,'P&amp;L Mar 2023'!$22:$22,'P&amp;L Mar 2023'!$23:$23,'P&amp;L Mar 2023'!$24:$24,'P&amp;L Mar 2023'!$25:$25,'P&amp;L Mar 2023'!$26:$26,'P&amp;L Mar 2023'!$27:$27</definedName>
    <definedName name="QB_DATA_0" localSheetId="4" hidden="1">'Payable Aging'!$2:$2,'Payable Aging'!$3:$3,'Payable Aging'!$4:$4</definedName>
    <definedName name="QB_DATA_0" localSheetId="6" hidden="1">'Receivable Aging'!$3:$3,'Receivable Aging'!$4:$4</definedName>
    <definedName name="QB_DATA_0" localSheetId="7" hidden="1">'Receivable Detail'!$2:$2,'Receivable Detail'!$3:$3,'Receivable Detail'!$4:$4,'Receivable Detail'!$5:$5,'Receivable Detail'!$6:$6,'Receivable Detail'!$8:$8,'Receivable Detail'!$9:$9,'Receivable Detail'!$10:$10,'Receivable Detail'!$11:$11,'Receivable Detail'!$12:$12,'Receivable Detail'!$13:$13,'Receivable Detail'!$14:$14,'Receivable Detail'!$15:$15,'Receivable Detail'!$16:$16,'Receivable Detail'!$17:$17,'Receivable Detail'!$18:$18</definedName>
    <definedName name="QB_DATA_1" localSheetId="3" hidden="1">'P&amp;L Mar 2023'!$28:$28,'P&amp;L Mar 2023'!$29:$29,'P&amp;L Mar 2023'!$31:$31,'P&amp;L Mar 2023'!$33:$33,'P&amp;L Mar 2023'!$35:$35,'P&amp;L Mar 2023'!$38:$38,'P&amp;L Mar 2023'!$41:$41,'P&amp;L Mar 2023'!$42:$42,'P&amp;L Mar 2023'!$43:$43,'P&amp;L Mar 2023'!$44:$44,'P&amp;L Mar 2023'!$45:$45,'P&amp;L Mar 2023'!$46:$46,'P&amp;L Mar 2023'!$47:$47,'P&amp;L Mar 2023'!$49:$49,'P&amp;L Mar 2023'!$52:$52,'P&amp;L Mar 2023'!$53:$53</definedName>
    <definedName name="QB_DATA_1" localSheetId="7" hidden="1">'Receivable Detail'!$19:$19,'Receivable Detail'!$20:$20,'Receivable Detail'!$21:$21,'Receivable Detail'!$22:$22,'Receivable Detail'!$23:$23,'Receivable Detail'!$24:$24,'Receivable Detail'!$25:$25,'Receivable Detail'!$27:$27,'Receivable Detail'!$28:$28,'Receivable Detail'!$29:$29</definedName>
    <definedName name="QB_DATA_2" localSheetId="3" hidden="1">'P&amp;L Mar 2023'!$56:$56,'P&amp;L Mar 2023'!$59:$59,'P&amp;L Mar 2023'!$63:$63,'P&amp;L Mar 2023'!$64:$64,'P&amp;L Mar 2023'!$66:$66,'P&amp;L Mar 2023'!$67:$67,'P&amp;L Mar 2023'!$68:$68,'P&amp;L Mar 2023'!$69:$69,'P&amp;L Mar 2023'!$70:$70,'P&amp;L Mar 2023'!$73:$73,'P&amp;L Mar 2023'!$74:$74</definedName>
    <definedName name="QB_FORMULA_0" localSheetId="5" hidden="1">'Accrued Liabilities'!$W$3,'Accrued Liabilities'!$W$4,'Accrued Liabilities'!$W$5,'Accrued Liabilities'!$W$6,'Accrued Liabilities'!$W$7,'Accrued Liabilities'!$U$11,'Accrued Liabilities'!$W$11,'Accrued Liabilities'!$U$12,'Accrued Liabilities'!$W$12</definedName>
    <definedName name="QB_FORMULA_0" localSheetId="2" hidden="1">'Balance Sheet Mar 2023'!$F$5,'Balance Sheet Mar 2023'!$F$8,'Balance Sheet Mar 2023'!$F$12,'Balance Sheet Mar 2023'!$F$13,'Balance Sheet Mar 2023'!$F$14,'Balance Sheet Mar 2023'!$F$20,'Balance Sheet Mar 2023'!$F$27,'Balance Sheet Mar 2023'!$F$28,'Balance Sheet Mar 2023'!$F$29,'Balance Sheet Mar 2023'!$F$33,'Balance Sheet Mar 2023'!$F$34</definedName>
    <definedName name="QB_FORMULA_0" localSheetId="3" hidden="1">'P&amp;L Mar 2023'!$X$5,'P&amp;L Mar 2023'!$X$6,'P&amp;L Mar 2023'!$X$7,'P&amp;L Mar 2023'!$X$9,'P&amp;L Mar 2023'!$X$10,'P&amp;L Mar 2023'!$X$11,'P&amp;L Mar 2023'!$X$13,'P&amp;L Mar 2023'!$X$15,'P&amp;L Mar 2023'!$F$16,'P&amp;L Mar 2023'!$G$16,'P&amp;L Mar 2023'!$H$16,'P&amp;L Mar 2023'!$I$16,'P&amp;L Mar 2023'!$J$16,'P&amp;L Mar 2023'!$K$16,'P&amp;L Mar 2023'!$L$16,'P&amp;L Mar 2023'!$M$16</definedName>
    <definedName name="QB_FORMULA_0" localSheetId="4" hidden="1">'Payable Aging'!$P$2,'Payable Aging'!$P$3,'Payable Aging'!$P$4,'Payable Aging'!$F$18,'Payable Aging'!$H$18,'Payable Aging'!$J$18,'Payable Aging'!$L$18,'Payable Aging'!$N$18,'Payable Aging'!$P$18</definedName>
    <definedName name="QB_FORMULA_0" localSheetId="6" hidden="1">'Receivable Aging'!$P$3,'Receivable Aging'!$P$4,'Receivable Aging'!$F$5,'Receivable Aging'!$H$5,'Receivable Aging'!$J$5,'Receivable Aging'!$L$5,'Receivable Aging'!$N$5,'Receivable Aging'!$P$5</definedName>
    <definedName name="QB_FORMULA_0" localSheetId="7" hidden="1">'Receivable Detail'!$W$3,'Receivable Detail'!$W$4,'Receivable Detail'!$W$5,'Receivable Detail'!$W$6,'Receivable Detail'!$U$7,'Receivable Detail'!$W$7,'Receivable Detail'!$W$9,'Receivable Detail'!$W$10,'Receivable Detail'!$W$11,'Receivable Detail'!$W$12,'Receivable Detail'!$W$13,'Receivable Detail'!$W$14,'Receivable Detail'!$W$15,'Receivable Detail'!$W$16,'Receivable Detail'!$W$17,'Receivable Detail'!$W$18</definedName>
    <definedName name="QB_FORMULA_1" localSheetId="3" hidden="1">'P&amp;L Mar 2023'!$N$16,'P&amp;L Mar 2023'!$O$16,'P&amp;L Mar 2023'!$P$16,'P&amp;L Mar 2023'!$X$16,'P&amp;L Mar 2023'!$F$17,'P&amp;L Mar 2023'!$G$17,'P&amp;L Mar 2023'!$H$17,'P&amp;L Mar 2023'!$I$17,'P&amp;L Mar 2023'!$J$17,'P&amp;L Mar 2023'!$K$17,'P&amp;L Mar 2023'!$L$17,'P&amp;L Mar 2023'!$M$17,'P&amp;L Mar 2023'!$N$17,'P&amp;L Mar 2023'!$O$17,'P&amp;L Mar 2023'!$P$17,'P&amp;L Mar 2023'!$X$17</definedName>
    <definedName name="QB_FORMULA_1" localSheetId="7" hidden="1">'Receivable Detail'!$W$19,'Receivable Detail'!$W$20,'Receivable Detail'!$W$21,'Receivable Detail'!$W$22,'Receivable Detail'!$W$23,'Receivable Detail'!$W$24,'Receivable Detail'!$W$25,'Receivable Detail'!$U$26,'Receivable Detail'!$W$26,'Receivable Detail'!$W$28,'Receivable Detail'!$W$29,'Receivable Detail'!$U$30,'Receivable Detail'!$W$30,'Receivable Detail'!$U$31,'Receivable Detail'!$W$31</definedName>
    <definedName name="QB_FORMULA_10" localSheetId="3" hidden="1">'P&amp;L Mar 2023'!$X$71,'P&amp;L Mar 2023'!$X$73,'P&amp;L Mar 2023'!$X$74,'P&amp;L Mar 2023'!$F$75,'P&amp;L Mar 2023'!$G$75,'P&amp;L Mar 2023'!$H$75,'P&amp;L Mar 2023'!$I$75,'P&amp;L Mar 2023'!$J$75,'P&amp;L Mar 2023'!$K$75,'P&amp;L Mar 2023'!$L$75,'P&amp;L Mar 2023'!$M$75,'P&amp;L Mar 2023'!$N$75,'P&amp;L Mar 2023'!$O$75,'P&amp;L Mar 2023'!$P$75,'P&amp;L Mar 2023'!$X$75,'P&amp;L Mar 2023'!$F$76</definedName>
    <definedName name="QB_FORMULA_11" localSheetId="3" hidden="1">'P&amp;L Mar 2023'!$G$76,'P&amp;L Mar 2023'!$H$76,'P&amp;L Mar 2023'!$I$76,'P&amp;L Mar 2023'!$J$76,'P&amp;L Mar 2023'!$K$76,'P&amp;L Mar 2023'!$L$76,'P&amp;L Mar 2023'!$M$76,'P&amp;L Mar 2023'!$N$76,'P&amp;L Mar 2023'!$O$76,'P&amp;L Mar 2023'!$P$76,'P&amp;L Mar 2023'!$X$76,'P&amp;L Mar 2023'!$F$77,'P&amp;L Mar 2023'!$G$77,'P&amp;L Mar 2023'!$H$77,'P&amp;L Mar 2023'!$I$77,'P&amp;L Mar 2023'!$J$77</definedName>
    <definedName name="QB_FORMULA_12" localSheetId="3" hidden="1">'P&amp;L Mar 2023'!$K$77,'P&amp;L Mar 2023'!$L$77,'P&amp;L Mar 2023'!$M$77,'P&amp;L Mar 2023'!$N$77,'P&amp;L Mar 2023'!$O$77,'P&amp;L Mar 2023'!$P$77,'P&amp;L Mar 2023'!$X$77,'P&amp;L Mar 2023'!$F$78,'P&amp;L Mar 2023'!$G$78,'P&amp;L Mar 2023'!$H$78,'P&amp;L Mar 2023'!$I$78,'P&amp;L Mar 2023'!$J$78,'P&amp;L Mar 2023'!$K$78,'P&amp;L Mar 2023'!$L$78,'P&amp;L Mar 2023'!$M$78,'P&amp;L Mar 2023'!$N$78</definedName>
    <definedName name="QB_FORMULA_13" localSheetId="3" hidden="1">'P&amp;L Mar 2023'!$O$78,'P&amp;L Mar 2023'!$P$78,'P&amp;L Mar 2023'!$X$78</definedName>
    <definedName name="QB_FORMULA_2" localSheetId="3" hidden="1">'P&amp;L Mar 2023'!$X$19,'P&amp;L Mar 2023'!$X$21,'P&amp;L Mar 2023'!$X$22,'P&amp;L Mar 2023'!$X$23,'P&amp;L Mar 2023'!$X$24,'P&amp;L Mar 2023'!$X$25,'P&amp;L Mar 2023'!$X$26,'P&amp;L Mar 2023'!$X$27,'P&amp;L Mar 2023'!$X$28,'P&amp;L Mar 2023'!$X$29,'P&amp;L Mar 2023'!$F$30,'P&amp;L Mar 2023'!$G$30,'P&amp;L Mar 2023'!$H$30,'P&amp;L Mar 2023'!$I$30,'P&amp;L Mar 2023'!$J$30,'P&amp;L Mar 2023'!$K$30</definedName>
    <definedName name="QB_FORMULA_3" localSheetId="3" hidden="1">'P&amp;L Mar 2023'!$L$30,'P&amp;L Mar 2023'!$M$30,'P&amp;L Mar 2023'!$N$30,'P&amp;L Mar 2023'!$O$30,'P&amp;L Mar 2023'!$P$30,'P&amp;L Mar 2023'!$X$30,'P&amp;L Mar 2023'!$X$31,'P&amp;L Mar 2023'!$X$33,'P&amp;L Mar 2023'!$X$35,'P&amp;L Mar 2023'!$F$36,'P&amp;L Mar 2023'!$G$36,'P&amp;L Mar 2023'!$H$36,'P&amp;L Mar 2023'!$I$36,'P&amp;L Mar 2023'!$J$36,'P&amp;L Mar 2023'!$K$36,'P&amp;L Mar 2023'!$L$36</definedName>
    <definedName name="QB_FORMULA_4" localSheetId="3" hidden="1">'P&amp;L Mar 2023'!$M$36,'P&amp;L Mar 2023'!$N$36,'P&amp;L Mar 2023'!$O$36,'P&amp;L Mar 2023'!$P$36,'P&amp;L Mar 2023'!$X$36,'P&amp;L Mar 2023'!$X$38,'P&amp;L Mar 2023'!$F$39,'P&amp;L Mar 2023'!$G$39,'P&amp;L Mar 2023'!$H$39,'P&amp;L Mar 2023'!$I$39,'P&amp;L Mar 2023'!$J$39,'P&amp;L Mar 2023'!$K$39,'P&amp;L Mar 2023'!$L$39,'P&amp;L Mar 2023'!$M$39,'P&amp;L Mar 2023'!$N$39,'P&amp;L Mar 2023'!$O$39</definedName>
    <definedName name="QB_FORMULA_5" localSheetId="3" hidden="1">'P&amp;L Mar 2023'!$P$39,'P&amp;L Mar 2023'!$X$39,'P&amp;L Mar 2023'!$X$41,'P&amp;L Mar 2023'!$X$42,'P&amp;L Mar 2023'!$X$43,'P&amp;L Mar 2023'!$X$44,'P&amp;L Mar 2023'!$X$45,'P&amp;L Mar 2023'!$X$46,'P&amp;L Mar 2023'!$X$47,'P&amp;L Mar 2023'!$X$49,'P&amp;L Mar 2023'!$F$50,'P&amp;L Mar 2023'!$G$50,'P&amp;L Mar 2023'!$H$50,'P&amp;L Mar 2023'!$I$50,'P&amp;L Mar 2023'!$J$50,'P&amp;L Mar 2023'!$K$50</definedName>
    <definedName name="QB_FORMULA_6" localSheetId="3" hidden="1">'P&amp;L Mar 2023'!$L$50,'P&amp;L Mar 2023'!$M$50,'P&amp;L Mar 2023'!$N$50,'P&amp;L Mar 2023'!$O$50,'P&amp;L Mar 2023'!$P$50,'P&amp;L Mar 2023'!$X$50,'P&amp;L Mar 2023'!$X$52,'P&amp;L Mar 2023'!$X$53,'P&amp;L Mar 2023'!$F$54,'P&amp;L Mar 2023'!$G$54,'P&amp;L Mar 2023'!$H$54,'P&amp;L Mar 2023'!$I$54,'P&amp;L Mar 2023'!$J$54,'P&amp;L Mar 2023'!$K$54,'P&amp;L Mar 2023'!$L$54,'P&amp;L Mar 2023'!$M$54</definedName>
    <definedName name="QB_FORMULA_7" localSheetId="3" hidden="1">'P&amp;L Mar 2023'!$N$54,'P&amp;L Mar 2023'!$O$54,'P&amp;L Mar 2023'!$P$54,'P&amp;L Mar 2023'!$X$54,'P&amp;L Mar 2023'!$X$56,'P&amp;L Mar 2023'!$F$57,'P&amp;L Mar 2023'!$G$57,'P&amp;L Mar 2023'!$H$57,'P&amp;L Mar 2023'!$I$57,'P&amp;L Mar 2023'!$J$57,'P&amp;L Mar 2023'!$K$57,'P&amp;L Mar 2023'!$L$57,'P&amp;L Mar 2023'!$M$57,'P&amp;L Mar 2023'!$N$57,'P&amp;L Mar 2023'!$O$57,'P&amp;L Mar 2023'!$P$57</definedName>
    <definedName name="QB_FORMULA_8" localSheetId="3" hidden="1">'P&amp;L Mar 2023'!$X$57,'P&amp;L Mar 2023'!$X$59,'P&amp;L Mar 2023'!$F$61,'P&amp;L Mar 2023'!$G$61,'P&amp;L Mar 2023'!$H$61,'P&amp;L Mar 2023'!$I$61,'P&amp;L Mar 2023'!$J$61,'P&amp;L Mar 2023'!$K$61,'P&amp;L Mar 2023'!$L$61,'P&amp;L Mar 2023'!$M$61,'P&amp;L Mar 2023'!$N$61,'P&amp;L Mar 2023'!$O$61,'P&amp;L Mar 2023'!$P$61,'P&amp;L Mar 2023'!$X$61,'P&amp;L Mar 2023'!$X$63,'P&amp;L Mar 2023'!$X$64</definedName>
    <definedName name="QB_FORMULA_9" localSheetId="3" hidden="1">'P&amp;L Mar 2023'!$X$66,'P&amp;L Mar 2023'!$X$67,'P&amp;L Mar 2023'!$X$68,'P&amp;L Mar 2023'!$X$69,'P&amp;L Mar 2023'!$X$70,'P&amp;L Mar 2023'!$F$71,'P&amp;L Mar 2023'!$G$71,'P&amp;L Mar 2023'!$H$71,'P&amp;L Mar 2023'!$I$71,'P&amp;L Mar 2023'!$J$71,'P&amp;L Mar 2023'!$K$71,'P&amp;L Mar 2023'!$L$71,'P&amp;L Mar 2023'!$M$71,'P&amp;L Mar 2023'!$N$71,'P&amp;L Mar 2023'!$O$71,'P&amp;L Mar 2023'!$P$71</definedName>
    <definedName name="QB_ROW_1" localSheetId="2" hidden="1">'Balance Sheet Mar 2023'!$A$1</definedName>
    <definedName name="QB_ROW_10031" localSheetId="2" hidden="1">'Balance Sheet Mar 2023'!$D$18</definedName>
    <definedName name="QB_ROW_1011" localSheetId="2" hidden="1">'Balance Sheet Mar 2023'!$B$2</definedName>
    <definedName name="QB_ROW_10331" localSheetId="2" hidden="1">'Balance Sheet Mar 2023'!$D$20</definedName>
    <definedName name="QB_ROW_104240" localSheetId="3" hidden="1">'P&amp;L Mar 2023'!$E$15</definedName>
    <definedName name="QB_ROW_105240" localSheetId="3" hidden="1">'P&amp;L Mar 2023'!$E$21</definedName>
    <definedName name="QB_ROW_109240" localSheetId="3" hidden="1">'P&amp;L Mar 2023'!$E$22</definedName>
    <definedName name="QB_ROW_111240" localSheetId="3" hidden="1">'P&amp;L Mar 2023'!$E$23</definedName>
    <definedName name="QB_ROW_112240" localSheetId="3" hidden="1">'P&amp;L Mar 2023'!$E$24</definedName>
    <definedName name="QB_ROW_113240" localSheetId="3" hidden="1">'P&amp;L Mar 2023'!$E$25</definedName>
    <definedName name="QB_ROW_114240" localSheetId="3" hidden="1">'P&amp;L Mar 2023'!$E$26</definedName>
    <definedName name="QB_ROW_118240" localSheetId="3" hidden="1">'P&amp;L Mar 2023'!$E$27</definedName>
    <definedName name="QB_ROW_12031" localSheetId="2" hidden="1">'Balance Sheet Mar 2023'!$D$21</definedName>
    <definedName name="QB_ROW_12331" localSheetId="2" hidden="1">'Balance Sheet Mar 2023'!$D$27</definedName>
    <definedName name="QB_ROW_125240" localSheetId="3" hidden="1">'P&amp;L Mar 2023'!$E$28</definedName>
    <definedName name="QB_ROW_128240" localSheetId="3" hidden="1">'P&amp;L Mar 2023'!$E$29</definedName>
    <definedName name="QB_ROW_1311" localSheetId="2" hidden="1">'Balance Sheet Mar 2023'!$B$13</definedName>
    <definedName name="QB_ROW_14011" localSheetId="2" hidden="1">'Balance Sheet Mar 2023'!$B$30</definedName>
    <definedName name="QB_ROW_14210" localSheetId="4" hidden="1">'Payable Aging'!$E$3</definedName>
    <definedName name="QB_ROW_14311" localSheetId="2" hidden="1">'Balance Sheet Mar 2023'!$B$33</definedName>
    <definedName name="QB_ROW_162240" localSheetId="3" hidden="1">'P&amp;L Mar 2023'!$E$33</definedName>
    <definedName name="QB_ROW_163240" localSheetId="3" hidden="1">'P&amp;L Mar 2023'!$E$35</definedName>
    <definedName name="QB_ROW_164240" localSheetId="3" hidden="1">'P&amp;L Mar 2023'!$E$38</definedName>
    <definedName name="QB_ROW_165240" localSheetId="3" hidden="1">'P&amp;L Mar 2023'!$E$41</definedName>
    <definedName name="QB_ROW_168240" localSheetId="3" hidden="1">'P&amp;L Mar 2023'!$E$42</definedName>
    <definedName name="QB_ROW_169240" localSheetId="3" hidden="1">'P&amp;L Mar 2023'!$E$43</definedName>
    <definedName name="QB_ROW_170240" localSheetId="3" hidden="1">'P&amp;L Mar 2023'!$E$44</definedName>
    <definedName name="QB_ROW_171240" localSheetId="3" hidden="1">'P&amp;L Mar 2023'!$E$45</definedName>
    <definedName name="QB_ROW_17221" localSheetId="2" hidden="1">'Balance Sheet Mar 2023'!$C$32</definedName>
    <definedName name="QB_ROW_173240" localSheetId="3" hidden="1">'P&amp;L Mar 2023'!$E$46</definedName>
    <definedName name="QB_ROW_175240" localSheetId="3" hidden="1">'P&amp;L Mar 2023'!$E$47</definedName>
    <definedName name="QB_ROW_177240" localSheetId="3" hidden="1">'P&amp;L Mar 2023'!$E$49</definedName>
    <definedName name="QB_ROW_18301" localSheetId="3" hidden="1">'P&amp;L Mar 2023'!$B$78</definedName>
    <definedName name="QB_ROW_183240" localSheetId="3" hidden="1">'P&amp;L Mar 2023'!$E$52</definedName>
    <definedName name="QB_ROW_184240" localSheetId="3" hidden="1">'P&amp;L Mar 2023'!$E$53</definedName>
    <definedName name="QB_ROW_19011" localSheetId="3" hidden="1">'P&amp;L Mar 2023'!$B$2</definedName>
    <definedName name="QB_ROW_19311" localSheetId="3" hidden="1">'P&amp;L Mar 2023'!$B$77</definedName>
    <definedName name="QB_ROW_193240" localSheetId="3" hidden="1">'P&amp;L Mar 2023'!$E$56</definedName>
    <definedName name="QB_ROW_195240" localSheetId="3" hidden="1">'P&amp;L Mar 2023'!$E$59</definedName>
    <definedName name="QB_ROW_20021" localSheetId="3" hidden="1">'P&amp;L Mar 2023'!$C$3</definedName>
    <definedName name="QB_ROW_2021" localSheetId="2" hidden="1">'Balance Sheet Mar 2023'!$C$3</definedName>
    <definedName name="QB_ROW_20321" localSheetId="3" hidden="1">'P&amp;L Mar 2023'!$C$17</definedName>
    <definedName name="QB_ROW_21021" localSheetId="3" hidden="1">'P&amp;L Mar 2023'!$C$18</definedName>
    <definedName name="QB_ROW_21321" localSheetId="3" hidden="1">'P&amp;L Mar 2023'!$C$76</definedName>
    <definedName name="QB_ROW_217240" localSheetId="3" hidden="1">'P&amp;L Mar 2023'!$E$63</definedName>
    <definedName name="QB_ROW_220240" localSheetId="3" hidden="1">'P&amp;L Mar 2023'!$E$64</definedName>
    <definedName name="QB_ROW_221240" localSheetId="3" hidden="1">'P&amp;L Mar 2023'!$E$66</definedName>
    <definedName name="QB_ROW_227240" localSheetId="3" hidden="1">'P&amp;L Mar 2023'!$E$68</definedName>
    <definedName name="QB_ROW_231240" localSheetId="3" hidden="1">'P&amp;L Mar 2023'!$E$69</definedName>
    <definedName name="QB_ROW_2321" localSheetId="2" hidden="1">'Balance Sheet Mar 2023'!$C$5</definedName>
    <definedName name="QB_ROW_234240" localSheetId="3" hidden="1">'P&amp;L Mar 2023'!$E$70</definedName>
    <definedName name="QB_ROW_252030" localSheetId="3" hidden="1">'P&amp;L Mar 2023'!$D$4</definedName>
    <definedName name="QB_ROW_252330" localSheetId="3" hidden="1">'P&amp;L Mar 2023'!$D$16</definedName>
    <definedName name="QB_ROW_25301" localSheetId="5" hidden="1">'Accrued Liabilities'!$A$12</definedName>
    <definedName name="QB_ROW_25301" localSheetId="7" hidden="1">'Receivable Detail'!$A$31</definedName>
    <definedName name="QB_ROW_258030" localSheetId="3" hidden="1">'P&amp;L Mar 2023'!$D$32</definedName>
    <definedName name="QB_ROW_258330" localSheetId="3" hidden="1">'P&amp;L Mar 2023'!$D$36</definedName>
    <definedName name="QB_ROW_259030" localSheetId="3" hidden="1">'P&amp;L Mar 2023'!$D$37</definedName>
    <definedName name="QB_ROW_259330" localSheetId="3" hidden="1">'P&amp;L Mar 2023'!$D$39</definedName>
    <definedName name="QB_ROW_260030" localSheetId="3" hidden="1">'P&amp;L Mar 2023'!$D$40</definedName>
    <definedName name="QB_ROW_260330" localSheetId="3" hidden="1">'P&amp;L Mar 2023'!$D$50</definedName>
    <definedName name="QB_ROW_262030" localSheetId="3" hidden="1">'P&amp;L Mar 2023'!$D$51</definedName>
    <definedName name="QB_ROW_262330" localSheetId="3" hidden="1">'P&amp;L Mar 2023'!$D$54</definedName>
    <definedName name="QB_ROW_263030" localSheetId="3" hidden="1">'P&amp;L Mar 2023'!$D$55</definedName>
    <definedName name="QB_ROW_263330" localSheetId="3" hidden="1">'P&amp;L Mar 2023'!$D$57</definedName>
    <definedName name="QB_ROW_264030" localSheetId="3" hidden="1">'P&amp;L Mar 2023'!$D$58</definedName>
    <definedName name="QB_ROW_264330" localSheetId="3" hidden="1">'P&amp;L Mar 2023'!$D$61</definedName>
    <definedName name="QB_ROW_266030" localSheetId="3" hidden="1">'P&amp;L Mar 2023'!$D$62</definedName>
    <definedName name="QB_ROW_266330" localSheetId="3" hidden="1">'P&amp;L Mar 2023'!$D$71</definedName>
    <definedName name="QB_ROW_269010" localSheetId="7" hidden="1">'Receivable Detail'!$B$8</definedName>
    <definedName name="QB_ROW_269230" localSheetId="2" hidden="1">'Balance Sheet Mar 2023'!$D$11</definedName>
    <definedName name="QB_ROW_269310" localSheetId="7" hidden="1">'Receivable Detail'!$B$26</definedName>
    <definedName name="QB_ROW_274240" localSheetId="2" hidden="1">'Balance Sheet Mar 2023'!$E$22</definedName>
    <definedName name="QB_ROW_277240" localSheetId="2" hidden="1">'Balance Sheet Mar 2023'!$E$23</definedName>
    <definedName name="QB_ROW_280240" localSheetId="2" hidden="1">'Balance Sheet Mar 2023'!$E$26</definedName>
    <definedName name="QB_ROW_281030" localSheetId="3" hidden="1">'P&amp;L Mar 2023'!$D$72</definedName>
    <definedName name="QB_ROW_281330" localSheetId="3" hidden="1">'P&amp;L Mar 2023'!$D$75</definedName>
    <definedName name="QB_ROW_282240" localSheetId="3" hidden="1">'P&amp;L Mar 2023'!$E$73</definedName>
    <definedName name="QB_ROW_283240" localSheetId="3" hidden="1">'P&amp;L Mar 2023'!$E$74</definedName>
    <definedName name="QB_ROW_284240" localSheetId="3" hidden="1">'P&amp;L Mar 2023'!$E$67</definedName>
    <definedName name="QB_ROW_285240" localSheetId="2" hidden="1">'Balance Sheet Mar 2023'!$E$19</definedName>
    <definedName name="QB_ROW_286010" localSheetId="5" hidden="1">'Accrued Liabilities'!$B$2</definedName>
    <definedName name="QB_ROW_286240" localSheetId="2" hidden="1">'Balance Sheet Mar 2023'!$E$25</definedName>
    <definedName name="QB_ROW_286310" localSheetId="5" hidden="1">'Accrued Liabilities'!$B$11</definedName>
    <definedName name="QB_ROW_288230" localSheetId="2" hidden="1">'Balance Sheet Mar 2023'!$D$7</definedName>
    <definedName name="QB_ROW_290010" localSheetId="7" hidden="1">'Receivable Detail'!$B$27</definedName>
    <definedName name="QB_ROW_290310" localSheetId="7" hidden="1">'Receivable Detail'!$B$30</definedName>
    <definedName name="QB_ROW_292010" localSheetId="7" hidden="1">'Receivable Detail'!$B$2</definedName>
    <definedName name="QB_ROW_292310" localSheetId="7" hidden="1">'Receivable Detail'!$B$7</definedName>
    <definedName name="QB_ROW_301" localSheetId="2" hidden="1">'Balance Sheet Mar 2023'!$A$14</definedName>
    <definedName name="QB_ROW_3021" localSheetId="2" hidden="1">'Balance Sheet Mar 2023'!$C$6</definedName>
    <definedName name="QB_ROW_32301" localSheetId="4" hidden="1">'Payable Aging'!$E$18</definedName>
    <definedName name="QB_ROW_32301" localSheetId="6" hidden="1">'Receivable Aging'!$E$5</definedName>
    <definedName name="QB_ROW_3321" localSheetId="2" hidden="1">'Balance Sheet Mar 2023'!$C$8</definedName>
    <definedName name="QB_ROW_4021" localSheetId="2" hidden="1">'Balance Sheet Mar 2023'!$C$9</definedName>
    <definedName name="QB_ROW_4321" localSheetId="2" hidden="1">'Balance Sheet Mar 2023'!$C$12</definedName>
    <definedName name="QB_ROW_44210" localSheetId="4" hidden="1">'Payable Aging'!$E$2</definedName>
    <definedName name="QB_ROW_44210" localSheetId="6" hidden="1">'Receivable Aging'!$E$3</definedName>
    <definedName name="QB_ROW_46210" localSheetId="4" hidden="1">'Payable Aging'!$E$4</definedName>
    <definedName name="QB_ROW_46210" localSheetId="6" hidden="1">'Receivable Aging'!$E$4</definedName>
    <definedName name="QB_ROW_52230" localSheetId="2" hidden="1">'Balance Sheet Mar 2023'!$D$4</definedName>
    <definedName name="QB_ROW_53230" localSheetId="3" hidden="1">'P&amp;L Mar 2023'!$D$31</definedName>
    <definedName name="QB_ROW_59230" localSheetId="3" hidden="1">'P&amp;L Mar 2023'!$D$19</definedName>
    <definedName name="QB_ROW_68030" localSheetId="3" hidden="1">'P&amp;L Mar 2023'!$D$20</definedName>
    <definedName name="QB_ROW_68330" localSheetId="3" hidden="1">'P&amp;L Mar 2023'!$D$30</definedName>
    <definedName name="QB_ROW_7001" localSheetId="2" hidden="1">'Balance Sheet Mar 2023'!$A$15</definedName>
    <definedName name="QB_ROW_7301" localSheetId="2" hidden="1">'Balance Sheet Mar 2023'!$A$34</definedName>
    <definedName name="QB_ROW_76240" localSheetId="3" hidden="1">'P&amp;L Mar 2023'!$E$5</definedName>
    <definedName name="QB_ROW_77240" localSheetId="3" hidden="1">'P&amp;L Mar 2023'!$E$6</definedName>
    <definedName name="QB_ROW_78240" localSheetId="3" hidden="1">'P&amp;L Mar 2023'!$E$7</definedName>
    <definedName name="QB_ROW_8011" localSheetId="2" hidden="1">'Balance Sheet Mar 2023'!$B$16</definedName>
    <definedName name="QB_ROW_8311" localSheetId="2" hidden="1">'Balance Sheet Mar 2023'!$B$29</definedName>
    <definedName name="QB_ROW_84240" localSheetId="3" hidden="1">'P&amp;L Mar 2023'!$E$9</definedName>
    <definedName name="QB_ROW_86240" localSheetId="3" hidden="1">'P&amp;L Mar 2023'!$E$10</definedName>
    <definedName name="QB_ROW_89240" localSheetId="3" hidden="1">'P&amp;L Mar 2023'!$E$11</definedName>
    <definedName name="QB_ROW_9021" localSheetId="2" hidden="1">'Balance Sheet Mar 2023'!$C$17</definedName>
    <definedName name="QB_ROW_92240" localSheetId="3" hidden="1">'P&amp;L Mar 2023'!$E$13</definedName>
    <definedName name="QB_ROW_9321" localSheetId="2" hidden="1">'Balance Sheet Mar 2023'!$C$28</definedName>
    <definedName name="QBCANSUPPORTUPDATE" localSheetId="5">TRUE</definedName>
    <definedName name="QBCANSUPPORTUPDATE" localSheetId="2">TRUE</definedName>
    <definedName name="QBCANSUPPORTUPDATE" localSheetId="3">TRUE</definedName>
    <definedName name="QBCANSUPPORTUPDATE" localSheetId="4">TRUE</definedName>
    <definedName name="QBCANSUPPORTUPDATE" localSheetId="6">TRUE</definedName>
    <definedName name="QBCANSUPPORTUPDATE" localSheetId="7">TRUE</definedName>
    <definedName name="QBCOMPANYFILENAME" localSheetId="5">"D:\Bright View\Brightview Preparatory Academy Corp.qbw"</definedName>
    <definedName name="QBCOMPANYFILENAME" localSheetId="2">"D:\Bright View\Brightview Preparatory Academy Corp.qbw"</definedName>
    <definedName name="QBCOMPANYFILENAME" localSheetId="3">"D:\Bright View\Brightview Preparatory Academy Corp.qbw"</definedName>
    <definedName name="QBCOMPANYFILENAME" localSheetId="4">"D:\Bright View\Brightview Preparatory Academy Corp.qbw"</definedName>
    <definedName name="QBCOMPANYFILENAME" localSheetId="6">"D:\Bright View\Brightview Preparatory Academy Corp.qbw"</definedName>
    <definedName name="QBCOMPANYFILENAME" localSheetId="7">"d:\bright view\brightview preparatory academy corp.qbw"</definedName>
    <definedName name="QBENDDATE" localSheetId="2">20221130</definedName>
    <definedName name="QBENDDATE" localSheetId="3">20221130</definedName>
    <definedName name="QBENDDATE" localSheetId="4">20221130</definedName>
    <definedName name="QBENDDATE" localSheetId="6">20221031</definedName>
    <definedName name="QBENDDATE" localSheetId="7">20230331</definedName>
    <definedName name="QBHEADERSONSCREEN" localSheetId="5">FALSE</definedName>
    <definedName name="QBHEADERSONSCREEN" localSheetId="2">FALSE</definedName>
    <definedName name="QBHEADERSONSCREEN" localSheetId="3">FALSE</definedName>
    <definedName name="QBHEADERSONSCREEN" localSheetId="4">FALSE</definedName>
    <definedName name="QBHEADERSONSCREEN" localSheetId="6">FALSE</definedName>
    <definedName name="QBHEADERSONSCREEN" localSheetId="7">FALSE</definedName>
    <definedName name="QBMETADATASIZE" localSheetId="5">7622</definedName>
    <definedName name="QBMETADATASIZE" localSheetId="2">5924</definedName>
    <definedName name="QBMETADATASIZE" localSheetId="3">5924</definedName>
    <definedName name="QBMETADATASIZE" localSheetId="4">5934</definedName>
    <definedName name="QBMETADATASIZE" localSheetId="6">5934</definedName>
    <definedName name="QBMETADATASIZE" localSheetId="7">7652</definedName>
    <definedName name="QBPRESERVECOLOR" localSheetId="5">TRUE</definedName>
    <definedName name="QBPRESERVECOLOR" localSheetId="2">TRUE</definedName>
    <definedName name="QBPRESERVECOLOR" localSheetId="3">TRUE</definedName>
    <definedName name="QBPRESERVECOLOR" localSheetId="4">TRUE</definedName>
    <definedName name="QBPRESERVECOLOR" localSheetId="6">TRUE</definedName>
    <definedName name="QBPRESERVECOLOR" localSheetId="7">TRUE</definedName>
    <definedName name="QBPRESERVEFONT" localSheetId="5">TRUE</definedName>
    <definedName name="QBPRESERVEFONT" localSheetId="2">TRUE</definedName>
    <definedName name="QBPRESERVEFONT" localSheetId="3">TRUE</definedName>
    <definedName name="QBPRESERVEFONT" localSheetId="4">TRUE</definedName>
    <definedName name="QBPRESERVEFONT" localSheetId="6">TRUE</definedName>
    <definedName name="QBPRESERVEFONT" localSheetId="7">TRUE</definedName>
    <definedName name="QBPRESERVEROWHEIGHT" localSheetId="5">TRUE</definedName>
    <definedName name="QBPRESERVEROWHEIGHT" localSheetId="2">TRUE</definedName>
    <definedName name="QBPRESERVEROWHEIGHT" localSheetId="3">TRUE</definedName>
    <definedName name="QBPRESERVEROWHEIGHT" localSheetId="4">TRUE</definedName>
    <definedName name="QBPRESERVEROWHEIGHT" localSheetId="6">TRUE</definedName>
    <definedName name="QBPRESERVEROWHEIGHT" localSheetId="7">TRUE</definedName>
    <definedName name="QBPRESERVESPACE" localSheetId="5">TRUE</definedName>
    <definedName name="QBPRESERVESPACE" localSheetId="2">TRUE</definedName>
    <definedName name="QBPRESERVESPACE" localSheetId="3">TRUE</definedName>
    <definedName name="QBPRESERVESPACE" localSheetId="4">TRUE</definedName>
    <definedName name="QBPRESERVESPACE" localSheetId="6">TRUE</definedName>
    <definedName name="QBPRESERVESPACE" localSheetId="7">TRUE</definedName>
    <definedName name="QBREPORTCOLAXIS" localSheetId="5">0</definedName>
    <definedName name="QBREPORTCOLAXIS" localSheetId="2">0</definedName>
    <definedName name="QBREPORTCOLAXIS" localSheetId="3">6</definedName>
    <definedName name="QBREPORTCOLAXIS" localSheetId="4">37</definedName>
    <definedName name="QBREPORTCOLAXIS" localSheetId="6">37</definedName>
    <definedName name="QBREPORTCOLAXIS" localSheetId="7">0</definedName>
    <definedName name="QBREPORTCOMPANYID" localSheetId="5">"669bc0b081374debb0e0cb90a99ee013"</definedName>
    <definedName name="QBREPORTCOMPANYID" localSheetId="2">"669bc0b081374debb0e0cb90a99ee013"</definedName>
    <definedName name="QBREPORTCOMPANYID" localSheetId="3">"669bc0b081374debb0e0cb90a99ee013"</definedName>
    <definedName name="QBREPORTCOMPANYID" localSheetId="4">"669bc0b081374debb0e0cb90a99ee013"</definedName>
    <definedName name="QBREPORTCOMPANYID" localSheetId="6">"669bc0b081374debb0e0cb90a99ee013"</definedName>
    <definedName name="QBREPORTCOMPANYID" localSheetId="7">"669bc0b081374debb0e0cb90a99ee013"</definedName>
    <definedName name="QBREPORTCOMPARECOL_ANNUALBUDGET" localSheetId="5">FALSE</definedName>
    <definedName name="QBREPORTCOMPARECOL_ANNUALBUDGET" localSheetId="2">FALSE</definedName>
    <definedName name="QBREPORTCOMPARECOL_ANNUALBUDGET" localSheetId="3">FALSE</definedName>
    <definedName name="QBREPORTCOMPARECOL_ANNUALBUDGET" localSheetId="4">FALSE</definedName>
    <definedName name="QBREPORTCOMPARECOL_ANNUALBUDGET" localSheetId="6">FALSE</definedName>
    <definedName name="QBREPORTCOMPARECOL_ANNUALBUDGET" localSheetId="7">FALSE</definedName>
    <definedName name="QBREPORTCOMPARECOL_AVGCOGS" localSheetId="5">FALSE</definedName>
    <definedName name="QBREPORTCOMPARECOL_AVGCOGS" localSheetId="2">FALSE</definedName>
    <definedName name="QBREPORTCOMPARECOL_AVGCOGS" localSheetId="3">FALSE</definedName>
    <definedName name="QBREPORTCOMPARECOL_AVGCOGS" localSheetId="4">FALSE</definedName>
    <definedName name="QBREPORTCOMPARECOL_AVGCOGS" localSheetId="6">FALSE</definedName>
    <definedName name="QBREPORTCOMPARECOL_AVGCOGS" localSheetId="7">FALSE</definedName>
    <definedName name="QBREPORTCOMPARECOL_AVGPRICE" localSheetId="5">FALSE</definedName>
    <definedName name="QBREPORTCOMPARECOL_AVGPRICE" localSheetId="2">FALSE</definedName>
    <definedName name="QBREPORTCOMPARECOL_AVGPRICE" localSheetId="3">FALSE</definedName>
    <definedName name="QBREPORTCOMPARECOL_AVGPRICE" localSheetId="4">FALSE</definedName>
    <definedName name="QBREPORTCOMPARECOL_AVGPRICE" localSheetId="6">FALSE</definedName>
    <definedName name="QBREPORTCOMPARECOL_AVGPRICE" localSheetId="7">FALSE</definedName>
    <definedName name="QBREPORTCOMPARECOL_BUDDIFF" localSheetId="5">FALSE</definedName>
    <definedName name="QBREPORTCOMPARECOL_BUDDIFF" localSheetId="2">FALSE</definedName>
    <definedName name="QBREPORTCOMPARECOL_BUDDIFF" localSheetId="3">FALSE</definedName>
    <definedName name="QBREPORTCOMPARECOL_BUDDIFF" localSheetId="4">FALSE</definedName>
    <definedName name="QBREPORTCOMPARECOL_BUDDIFF" localSheetId="6">FALSE</definedName>
    <definedName name="QBREPORTCOMPARECOL_BUDDIFF" localSheetId="7">FALSE</definedName>
    <definedName name="QBREPORTCOMPARECOL_BUDGET" localSheetId="5">FALSE</definedName>
    <definedName name="QBREPORTCOMPARECOL_BUDGET" localSheetId="2">FALSE</definedName>
    <definedName name="QBREPORTCOMPARECOL_BUDGET" localSheetId="3">FALSE</definedName>
    <definedName name="QBREPORTCOMPARECOL_BUDGET" localSheetId="4">FALSE</definedName>
    <definedName name="QBREPORTCOMPARECOL_BUDGET" localSheetId="6">FALSE</definedName>
    <definedName name="QBREPORTCOMPARECOL_BUDGET" localSheetId="7">FALSE</definedName>
    <definedName name="QBREPORTCOMPARECOL_BUDPCT" localSheetId="5">FALSE</definedName>
    <definedName name="QBREPORTCOMPARECOL_BUDPCT" localSheetId="2">FALSE</definedName>
    <definedName name="QBREPORTCOMPARECOL_BUDPCT" localSheetId="3">FALSE</definedName>
    <definedName name="QBREPORTCOMPARECOL_BUDPCT" localSheetId="4">FALSE</definedName>
    <definedName name="QBREPORTCOMPARECOL_BUDPCT" localSheetId="6">FALSE</definedName>
    <definedName name="QBREPORTCOMPARECOL_BUDPCT" localSheetId="7">FALSE</definedName>
    <definedName name="QBREPORTCOMPARECOL_COGS" localSheetId="5">FALSE</definedName>
    <definedName name="QBREPORTCOMPARECOL_COGS" localSheetId="2">FALSE</definedName>
    <definedName name="QBREPORTCOMPARECOL_COGS" localSheetId="3">FALSE</definedName>
    <definedName name="QBREPORTCOMPARECOL_COGS" localSheetId="4">FALSE</definedName>
    <definedName name="QBREPORTCOMPARECOL_COGS" localSheetId="6">FALSE</definedName>
    <definedName name="QBREPORTCOMPARECOL_COGS" localSheetId="7">FALSE</definedName>
    <definedName name="QBREPORTCOMPARECOL_EXCLUDEAMOUNT" localSheetId="5">FALSE</definedName>
    <definedName name="QBREPORTCOMPARECOL_EXCLUDEAMOUNT" localSheetId="2">FALSE</definedName>
    <definedName name="QBREPORTCOMPARECOL_EXCLUDEAMOUNT" localSheetId="3">FALSE</definedName>
    <definedName name="QBREPORTCOMPARECOL_EXCLUDEAMOUNT" localSheetId="4">FALSE</definedName>
    <definedName name="QBREPORTCOMPARECOL_EXCLUDEAMOUNT" localSheetId="6">FALSE</definedName>
    <definedName name="QBREPORTCOMPARECOL_EXCLUDEAMOUNT" localSheetId="7">FALSE</definedName>
    <definedName name="QBREPORTCOMPARECOL_EXCLUDECURPERIOD" localSheetId="5">FALSE</definedName>
    <definedName name="QBREPORTCOMPARECOL_EXCLUDECURPERIOD" localSheetId="2">FALSE</definedName>
    <definedName name="QBREPORTCOMPARECOL_EXCLUDECURPERIOD" localSheetId="3">FALSE</definedName>
    <definedName name="QBREPORTCOMPARECOL_EXCLUDECURPERIOD" localSheetId="4">FALSE</definedName>
    <definedName name="QBREPORTCOMPARECOL_EXCLUDECURPERIOD" localSheetId="6">FALSE</definedName>
    <definedName name="QBREPORTCOMPARECOL_EXCLUDECURPERIOD" localSheetId="7">FALSE</definedName>
    <definedName name="QBREPORTCOMPARECOL_FORECAST" localSheetId="5">FALSE</definedName>
    <definedName name="QBREPORTCOMPARECOL_FORECAST" localSheetId="2">FALSE</definedName>
    <definedName name="QBREPORTCOMPARECOL_FORECAST" localSheetId="3">FALSE</definedName>
    <definedName name="QBREPORTCOMPARECOL_FORECAST" localSheetId="4">FALSE</definedName>
    <definedName name="QBREPORTCOMPARECOL_FORECAST" localSheetId="6">FALSE</definedName>
    <definedName name="QBREPORTCOMPARECOL_FORECAST" localSheetId="7">FALSE</definedName>
    <definedName name="QBREPORTCOMPARECOL_GROSSMARGIN" localSheetId="5">FALSE</definedName>
    <definedName name="QBREPORTCOMPARECOL_GROSSMARGIN" localSheetId="2">FALSE</definedName>
    <definedName name="QBREPORTCOMPARECOL_GROSSMARGIN" localSheetId="3">FALSE</definedName>
    <definedName name="QBREPORTCOMPARECOL_GROSSMARGIN" localSheetId="4">FALSE</definedName>
    <definedName name="QBREPORTCOMPARECOL_GROSSMARGIN" localSheetId="6">FALSE</definedName>
    <definedName name="QBREPORTCOMPARECOL_GROSSMARGIN" localSheetId="7">FALSE</definedName>
    <definedName name="QBREPORTCOMPARECOL_GROSSMARGINPCT" localSheetId="5">FALSE</definedName>
    <definedName name="QBREPORTCOMPARECOL_GROSSMARGINPCT" localSheetId="2">FALSE</definedName>
    <definedName name="QBREPORTCOMPARECOL_GROSSMARGINPCT" localSheetId="3">FALSE</definedName>
    <definedName name="QBREPORTCOMPARECOL_GROSSMARGINPCT" localSheetId="4">FALSE</definedName>
    <definedName name="QBREPORTCOMPARECOL_GROSSMARGINPCT" localSheetId="6">FALSE</definedName>
    <definedName name="QBREPORTCOMPARECOL_GROSSMARGINPCT" localSheetId="7">FALSE</definedName>
    <definedName name="QBREPORTCOMPARECOL_HOURS" localSheetId="5">FALSE</definedName>
    <definedName name="QBREPORTCOMPARECOL_HOURS" localSheetId="2">FALSE</definedName>
    <definedName name="QBREPORTCOMPARECOL_HOURS" localSheetId="3">FALSE</definedName>
    <definedName name="QBREPORTCOMPARECOL_HOURS" localSheetId="4">FALSE</definedName>
    <definedName name="QBREPORTCOMPARECOL_HOURS" localSheetId="6">FALSE</definedName>
    <definedName name="QBREPORTCOMPARECOL_HOURS" localSheetId="7">FALSE</definedName>
    <definedName name="QBREPORTCOMPARECOL_PCTCOL" localSheetId="5">FALSE</definedName>
    <definedName name="QBREPORTCOMPARECOL_PCTCOL" localSheetId="2">FALSE</definedName>
    <definedName name="QBREPORTCOMPARECOL_PCTCOL" localSheetId="3">FALSE</definedName>
    <definedName name="QBREPORTCOMPARECOL_PCTCOL" localSheetId="4">FALSE</definedName>
    <definedName name="QBREPORTCOMPARECOL_PCTCOL" localSheetId="6">FALSE</definedName>
    <definedName name="QBREPORTCOMPARECOL_PCTCOL" localSheetId="7">FALSE</definedName>
    <definedName name="QBREPORTCOMPARECOL_PCTEXPENSE" localSheetId="5">FALSE</definedName>
    <definedName name="QBREPORTCOMPARECOL_PCTEXPENSE" localSheetId="2">FALSE</definedName>
    <definedName name="QBREPORTCOMPARECOL_PCTEXPENSE" localSheetId="3">FALSE</definedName>
    <definedName name="QBREPORTCOMPARECOL_PCTEXPENSE" localSheetId="4">FALSE</definedName>
    <definedName name="QBREPORTCOMPARECOL_PCTEXPENSE" localSheetId="6">FALSE</definedName>
    <definedName name="QBREPORTCOMPARECOL_PCTEXPENSE" localSheetId="7">FALSE</definedName>
    <definedName name="QBREPORTCOMPARECOL_PCTINCOME" localSheetId="5">FALSE</definedName>
    <definedName name="QBREPORTCOMPARECOL_PCTINCOME" localSheetId="2">FALSE</definedName>
    <definedName name="QBREPORTCOMPARECOL_PCTINCOME" localSheetId="3">FALSE</definedName>
    <definedName name="QBREPORTCOMPARECOL_PCTINCOME" localSheetId="4">FALSE</definedName>
    <definedName name="QBREPORTCOMPARECOL_PCTINCOME" localSheetId="6">FALSE</definedName>
    <definedName name="QBREPORTCOMPARECOL_PCTINCOME" localSheetId="7">FALSE</definedName>
    <definedName name="QBREPORTCOMPARECOL_PCTOFSALES" localSheetId="5">FALSE</definedName>
    <definedName name="QBREPORTCOMPARECOL_PCTOFSALES" localSheetId="2">FALSE</definedName>
    <definedName name="QBREPORTCOMPARECOL_PCTOFSALES" localSheetId="3">FALSE</definedName>
    <definedName name="QBREPORTCOMPARECOL_PCTOFSALES" localSheetId="4">FALSE</definedName>
    <definedName name="QBREPORTCOMPARECOL_PCTOFSALES" localSheetId="6">FALSE</definedName>
    <definedName name="QBREPORTCOMPARECOL_PCTOFSALES" localSheetId="7">FALSE</definedName>
    <definedName name="QBREPORTCOMPARECOL_PCTROW" localSheetId="5">FALSE</definedName>
    <definedName name="QBREPORTCOMPARECOL_PCTROW" localSheetId="2">FALSE</definedName>
    <definedName name="QBREPORTCOMPARECOL_PCTROW" localSheetId="3">FALSE</definedName>
    <definedName name="QBREPORTCOMPARECOL_PCTROW" localSheetId="4">FALSE</definedName>
    <definedName name="QBREPORTCOMPARECOL_PCTROW" localSheetId="6">FALSE</definedName>
    <definedName name="QBREPORTCOMPARECOL_PCTROW" localSheetId="7">FALSE</definedName>
    <definedName name="QBREPORTCOMPARECOL_PPDIFF" localSheetId="5">FALSE</definedName>
    <definedName name="QBREPORTCOMPARECOL_PPDIFF" localSheetId="2">FALSE</definedName>
    <definedName name="QBREPORTCOMPARECOL_PPDIFF" localSheetId="3">FALSE</definedName>
    <definedName name="QBREPORTCOMPARECOL_PPDIFF" localSheetId="4">FALSE</definedName>
    <definedName name="QBREPORTCOMPARECOL_PPDIFF" localSheetId="6">FALSE</definedName>
    <definedName name="QBREPORTCOMPARECOL_PPDIFF" localSheetId="7">FALSE</definedName>
    <definedName name="QBREPORTCOMPARECOL_PPPCT" localSheetId="5">FALSE</definedName>
    <definedName name="QBREPORTCOMPARECOL_PPPCT" localSheetId="2">FALSE</definedName>
    <definedName name="QBREPORTCOMPARECOL_PPPCT" localSheetId="3">FALSE</definedName>
    <definedName name="QBREPORTCOMPARECOL_PPPCT" localSheetId="4">FALSE</definedName>
    <definedName name="QBREPORTCOMPARECOL_PPPCT" localSheetId="6">FALSE</definedName>
    <definedName name="QBREPORTCOMPARECOL_PPPCT" localSheetId="7">FALSE</definedName>
    <definedName name="QBREPORTCOMPARECOL_PREVPERIOD" localSheetId="5">FALSE</definedName>
    <definedName name="QBREPORTCOMPARECOL_PREVPERIOD" localSheetId="2">FALSE</definedName>
    <definedName name="QBREPORTCOMPARECOL_PREVPERIOD" localSheetId="3">FALSE</definedName>
    <definedName name="QBREPORTCOMPARECOL_PREVPERIOD" localSheetId="4">FALSE</definedName>
    <definedName name="QBREPORTCOMPARECOL_PREVPERIOD" localSheetId="6">FALSE</definedName>
    <definedName name="QBREPORTCOMPARECOL_PREVPERIOD" localSheetId="7">FALSE</definedName>
    <definedName name="QBREPORTCOMPARECOL_PREVYEAR" localSheetId="5">FALSE</definedName>
    <definedName name="QBREPORTCOMPARECOL_PREVYEAR" localSheetId="2">FALSE</definedName>
    <definedName name="QBREPORTCOMPARECOL_PREVYEAR" localSheetId="3">FALSE</definedName>
    <definedName name="QBREPORTCOMPARECOL_PREVYEAR" localSheetId="4">FALSE</definedName>
    <definedName name="QBREPORTCOMPARECOL_PREVYEAR" localSheetId="6">FALSE</definedName>
    <definedName name="QBREPORTCOMPARECOL_PREVYEAR" localSheetId="7">FALSE</definedName>
    <definedName name="QBREPORTCOMPARECOL_PYDIFF" localSheetId="5">FALSE</definedName>
    <definedName name="QBREPORTCOMPARECOL_PYDIFF" localSheetId="2">FALSE</definedName>
    <definedName name="QBREPORTCOMPARECOL_PYDIFF" localSheetId="3">FALSE</definedName>
    <definedName name="QBREPORTCOMPARECOL_PYDIFF" localSheetId="4">FALSE</definedName>
    <definedName name="QBREPORTCOMPARECOL_PYDIFF" localSheetId="6">FALSE</definedName>
    <definedName name="QBREPORTCOMPARECOL_PYDIFF" localSheetId="7">FALSE</definedName>
    <definedName name="QBREPORTCOMPARECOL_PYPCT" localSheetId="5">FALSE</definedName>
    <definedName name="QBREPORTCOMPARECOL_PYPCT" localSheetId="2">FALSE</definedName>
    <definedName name="QBREPORTCOMPARECOL_PYPCT" localSheetId="3">FALSE</definedName>
    <definedName name="QBREPORTCOMPARECOL_PYPCT" localSheetId="4">FALSE</definedName>
    <definedName name="QBREPORTCOMPARECOL_PYPCT" localSheetId="6">FALSE</definedName>
    <definedName name="QBREPORTCOMPARECOL_PYPCT" localSheetId="7">FALSE</definedName>
    <definedName name="QBREPORTCOMPARECOL_QTY" localSheetId="5">FALSE</definedName>
    <definedName name="QBREPORTCOMPARECOL_QTY" localSheetId="2">FALSE</definedName>
    <definedName name="QBREPORTCOMPARECOL_QTY" localSheetId="3">FALSE</definedName>
    <definedName name="QBREPORTCOMPARECOL_QTY" localSheetId="4">FALSE</definedName>
    <definedName name="QBREPORTCOMPARECOL_QTY" localSheetId="6">FALSE</definedName>
    <definedName name="QBREPORTCOMPARECOL_QTY" localSheetId="7">FALSE</definedName>
    <definedName name="QBREPORTCOMPARECOL_RATE" localSheetId="5">FALSE</definedName>
    <definedName name="QBREPORTCOMPARECOL_RATE" localSheetId="2">FALSE</definedName>
    <definedName name="QBREPORTCOMPARECOL_RATE" localSheetId="3">FALSE</definedName>
    <definedName name="QBREPORTCOMPARECOL_RATE" localSheetId="4">FALSE</definedName>
    <definedName name="QBREPORTCOMPARECOL_RATE" localSheetId="6">FALSE</definedName>
    <definedName name="QBREPORTCOMPARECOL_RATE" localSheetId="7">FALSE</definedName>
    <definedName name="QBREPORTCOMPARECOL_TRIPBILLEDMILES" localSheetId="5">FALSE</definedName>
    <definedName name="QBREPORTCOMPARECOL_TRIPBILLEDMILES" localSheetId="2">FALSE</definedName>
    <definedName name="QBREPORTCOMPARECOL_TRIPBILLEDMILES" localSheetId="3">FALSE</definedName>
    <definedName name="QBREPORTCOMPARECOL_TRIPBILLEDMILES" localSheetId="4">FALSE</definedName>
    <definedName name="QBREPORTCOMPARECOL_TRIPBILLEDMILES" localSheetId="6">FALSE</definedName>
    <definedName name="QBREPORTCOMPARECOL_TRIPBILLEDMILES" localSheetId="7">FALSE</definedName>
    <definedName name="QBREPORTCOMPARECOL_TRIPBILLINGAMOUNT" localSheetId="5">FALSE</definedName>
    <definedName name="QBREPORTCOMPARECOL_TRIPBILLINGAMOUNT" localSheetId="2">FALSE</definedName>
    <definedName name="QBREPORTCOMPARECOL_TRIPBILLINGAMOUNT" localSheetId="3">FALSE</definedName>
    <definedName name="QBREPORTCOMPARECOL_TRIPBILLINGAMOUNT" localSheetId="4">FALSE</definedName>
    <definedName name="QBREPORTCOMPARECOL_TRIPBILLINGAMOUNT" localSheetId="6">FALSE</definedName>
    <definedName name="QBREPORTCOMPARECOL_TRIPBILLINGAMOUNT" localSheetId="7">FALSE</definedName>
    <definedName name="QBREPORTCOMPARECOL_TRIPMILES" localSheetId="5">FALSE</definedName>
    <definedName name="QBREPORTCOMPARECOL_TRIPMILES" localSheetId="2">FALSE</definedName>
    <definedName name="QBREPORTCOMPARECOL_TRIPMILES" localSheetId="3">FALSE</definedName>
    <definedName name="QBREPORTCOMPARECOL_TRIPMILES" localSheetId="4">FALSE</definedName>
    <definedName name="QBREPORTCOMPARECOL_TRIPMILES" localSheetId="6">FALSE</definedName>
    <definedName name="QBREPORTCOMPARECOL_TRIPMILES" localSheetId="7">FALSE</definedName>
    <definedName name="QBREPORTCOMPARECOL_TRIPNOTBILLABLEMILES" localSheetId="5">FALSE</definedName>
    <definedName name="QBREPORTCOMPARECOL_TRIPNOTBILLABLEMILES" localSheetId="2">FALSE</definedName>
    <definedName name="QBREPORTCOMPARECOL_TRIPNOTBILLABLEMILES" localSheetId="3">FALSE</definedName>
    <definedName name="QBREPORTCOMPARECOL_TRIPNOTBILLABLEMILES" localSheetId="4">FALSE</definedName>
    <definedName name="QBREPORTCOMPARECOL_TRIPNOTBILLABLEMILES" localSheetId="6">FALSE</definedName>
    <definedName name="QBREPORTCOMPARECOL_TRIPNOTBILLABLEMILES" localSheetId="7">FALSE</definedName>
    <definedName name="QBREPORTCOMPARECOL_TRIPTAXDEDUCTIBLEAMOUNT" localSheetId="5">FALSE</definedName>
    <definedName name="QBREPORTCOMPARECOL_TRIPTAXDEDUCTIBLEAMOUNT" localSheetId="2">FALSE</definedName>
    <definedName name="QBREPORTCOMPARECOL_TRIPTAXDEDUCTIBLEAMOUNT" localSheetId="3">FALSE</definedName>
    <definedName name="QBREPORTCOMPARECOL_TRIPTAXDEDUCTIBLEAMOUNT" localSheetId="4">FALSE</definedName>
    <definedName name="QBREPORTCOMPARECOL_TRIPTAXDEDUCTIBLEAMOUNT" localSheetId="6">FALSE</definedName>
    <definedName name="QBREPORTCOMPARECOL_TRIPTAXDEDUCTIBLEAMOUNT" localSheetId="7">FALSE</definedName>
    <definedName name="QBREPORTCOMPARECOL_TRIPUNBILLEDMILES" localSheetId="5">FALSE</definedName>
    <definedName name="QBREPORTCOMPARECOL_TRIPUNBILLEDMILES" localSheetId="2">FALSE</definedName>
    <definedName name="QBREPORTCOMPARECOL_TRIPUNBILLEDMILES" localSheetId="3">FALSE</definedName>
    <definedName name="QBREPORTCOMPARECOL_TRIPUNBILLEDMILES" localSheetId="4">FALSE</definedName>
    <definedName name="QBREPORTCOMPARECOL_TRIPUNBILLEDMILES" localSheetId="6">FALSE</definedName>
    <definedName name="QBREPORTCOMPARECOL_TRIPUNBILLEDMILES" localSheetId="7">FALSE</definedName>
    <definedName name="QBREPORTCOMPARECOL_YTD" localSheetId="5">FALSE</definedName>
    <definedName name="QBREPORTCOMPARECOL_YTD" localSheetId="2">FALSE</definedName>
    <definedName name="QBREPORTCOMPARECOL_YTD" localSheetId="3">FALSE</definedName>
    <definedName name="QBREPORTCOMPARECOL_YTD" localSheetId="4">FALSE</definedName>
    <definedName name="QBREPORTCOMPARECOL_YTD" localSheetId="6">FALSE</definedName>
    <definedName name="QBREPORTCOMPARECOL_YTD" localSheetId="7">FALSE</definedName>
    <definedName name="QBREPORTCOMPARECOL_YTDBUDGET" localSheetId="5">FALSE</definedName>
    <definedName name="QBREPORTCOMPARECOL_YTDBUDGET" localSheetId="2">FALSE</definedName>
    <definedName name="QBREPORTCOMPARECOL_YTDBUDGET" localSheetId="3">FALSE</definedName>
    <definedName name="QBREPORTCOMPARECOL_YTDBUDGET" localSheetId="4">FALSE</definedName>
    <definedName name="QBREPORTCOMPARECOL_YTDBUDGET" localSheetId="6">FALSE</definedName>
    <definedName name="QBREPORTCOMPARECOL_YTDBUDGET" localSheetId="7">FALSE</definedName>
    <definedName name="QBREPORTCOMPARECOL_YTDPCT" localSheetId="5">FALSE</definedName>
    <definedName name="QBREPORTCOMPARECOL_YTDPCT" localSheetId="2">FALSE</definedName>
    <definedName name="QBREPORTCOMPARECOL_YTDPCT" localSheetId="3">FALSE</definedName>
    <definedName name="QBREPORTCOMPARECOL_YTDPCT" localSheetId="4">FALSE</definedName>
    <definedName name="QBREPORTCOMPARECOL_YTDPCT" localSheetId="6">FALSE</definedName>
    <definedName name="QBREPORTCOMPARECOL_YTDPCT" localSheetId="7">FALSE</definedName>
    <definedName name="QBREPORTROWAXIS" localSheetId="5">12</definedName>
    <definedName name="QBREPORTROWAXIS" localSheetId="2">9</definedName>
    <definedName name="QBREPORTROWAXIS" localSheetId="3">11</definedName>
    <definedName name="QBREPORTROWAXIS" localSheetId="4">15</definedName>
    <definedName name="QBREPORTROWAXIS" localSheetId="6">15</definedName>
    <definedName name="QBREPORTROWAXIS" localSheetId="7">12</definedName>
    <definedName name="QBREPORTSUBCOLAXIS" localSheetId="5">0</definedName>
    <definedName name="QBREPORTSUBCOLAXIS" localSheetId="2">0</definedName>
    <definedName name="QBREPORTSUBCOLAXIS" localSheetId="3">0</definedName>
    <definedName name="QBREPORTSUBCOLAXIS" localSheetId="4">0</definedName>
    <definedName name="QBREPORTSUBCOLAXIS" localSheetId="6">0</definedName>
    <definedName name="QBREPORTSUBCOLAXIS" localSheetId="7">0</definedName>
    <definedName name="QBREPORTTYPE" localSheetId="5">109</definedName>
    <definedName name="QBREPORTTYPE" localSheetId="2">5</definedName>
    <definedName name="QBREPORTTYPE" localSheetId="3">0</definedName>
    <definedName name="QBREPORTTYPE" localSheetId="4">15</definedName>
    <definedName name="QBREPORTTYPE" localSheetId="6">15</definedName>
    <definedName name="QBREPORTTYPE" localSheetId="7">109</definedName>
    <definedName name="QBROWHEADERS" localSheetId="5">2</definedName>
    <definedName name="QBROWHEADERS" localSheetId="2">5</definedName>
    <definedName name="QBROWHEADERS" localSheetId="3">5</definedName>
    <definedName name="QBROWHEADERS" localSheetId="4">2</definedName>
    <definedName name="QBROWHEADERS" localSheetId="6">2</definedName>
    <definedName name="QBROWHEADERS" localSheetId="7">2</definedName>
    <definedName name="QBSTARTDATE" localSheetId="2">20221130</definedName>
    <definedName name="QBSTARTDATE" localSheetId="3">20220101</definedName>
    <definedName name="QBSTARTDATE" localSheetId="4">20221130</definedName>
    <definedName name="QBSTARTDATE" localSheetId="6">20221031</definedName>
    <definedName name="QBSTARTDATE" localSheetId="7">20220701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99" l="1"/>
  <c r="W4" i="99" s="1"/>
  <c r="W5" i="99" s="1"/>
  <c r="W6" i="99" s="1"/>
  <c r="W7" i="99" s="1"/>
  <c r="U7" i="99"/>
  <c r="W9" i="99"/>
  <c r="W10" i="99" s="1"/>
  <c r="W11" i="99" s="1"/>
  <c r="W12" i="99" s="1"/>
  <c r="W13" i="99" s="1"/>
  <c r="W14" i="99" s="1"/>
  <c r="W15" i="99" s="1"/>
  <c r="W16" i="99" s="1"/>
  <c r="W17" i="99" s="1"/>
  <c r="W18" i="99" s="1"/>
  <c r="W19" i="99" s="1"/>
  <c r="W20" i="99" s="1"/>
  <c r="W21" i="99" s="1"/>
  <c r="W22" i="99" s="1"/>
  <c r="W23" i="99" s="1"/>
  <c r="W24" i="99" s="1"/>
  <c r="W25" i="99" s="1"/>
  <c r="W26" i="99" s="1"/>
  <c r="U26" i="99"/>
  <c r="W28" i="99"/>
  <c r="W29" i="99"/>
  <c r="W30" i="99" s="1"/>
  <c r="U30" i="99"/>
  <c r="U31" i="99" s="1"/>
  <c r="W11" i="98"/>
  <c r="U11" i="98"/>
  <c r="U12" i="98" s="1"/>
  <c r="W10" i="98"/>
  <c r="W3" i="98"/>
  <c r="W4" i="98" s="1"/>
  <c r="W5" i="98" s="1"/>
  <c r="W6" i="98" s="1"/>
  <c r="W7" i="98" s="1"/>
  <c r="W8" i="98" s="1"/>
  <c r="W9" i="98" s="1"/>
  <c r="W31" i="99" l="1"/>
  <c r="W12" i="98"/>
  <c r="E57" i="31" l="1"/>
  <c r="P26" i="31"/>
  <c r="AC60" i="32"/>
  <c r="AA60" i="32"/>
  <c r="K25" i="31"/>
  <c r="E25" i="31" s="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26" i="31"/>
  <c r="E24" i="31"/>
  <c r="E23" i="31"/>
  <c r="E22" i="31"/>
  <c r="E21" i="31"/>
  <c r="E20" i="31"/>
  <c r="E19" i="31"/>
  <c r="E18" i="31"/>
  <c r="E17" i="31"/>
  <c r="E16" i="31"/>
  <c r="E15" i="31"/>
  <c r="E14" i="31"/>
  <c r="F32" i="4" l="1"/>
  <c r="T94" i="32"/>
  <c r="S94" i="32"/>
  <c r="T93" i="32"/>
  <c r="T95" i="32" s="1"/>
  <c r="S93" i="32"/>
  <c r="S95" i="32" s="1"/>
  <c r="T90" i="32"/>
  <c r="S90" i="32"/>
  <c r="T89" i="32"/>
  <c r="S89" i="32"/>
  <c r="T88" i="32"/>
  <c r="S88" i="32"/>
  <c r="W61" i="32"/>
  <c r="V61" i="32"/>
  <c r="U61" i="32"/>
  <c r="T61" i="32"/>
  <c r="S61" i="32"/>
  <c r="R61" i="32"/>
  <c r="Q61" i="32"/>
  <c r="P61" i="32"/>
  <c r="O61" i="32"/>
  <c r="N61" i="32"/>
  <c r="M61" i="32"/>
  <c r="L61" i="32"/>
  <c r="X60" i="32"/>
  <c r="S91" i="32" l="1"/>
  <c r="T91" i="32"/>
  <c r="AA12" i="32"/>
  <c r="AA13" i="32"/>
  <c r="AA11" i="32"/>
  <c r="AA8" i="32"/>
  <c r="N18" i="88"/>
  <c r="L18" i="88"/>
  <c r="J18" i="88"/>
  <c r="H18" i="88"/>
  <c r="F18" i="88"/>
  <c r="P13" i="88"/>
  <c r="P12" i="88"/>
  <c r="P11" i="88"/>
  <c r="P10" i="88"/>
  <c r="P9" i="88"/>
  <c r="P8" i="88"/>
  <c r="P7" i="88"/>
  <c r="P6" i="88"/>
  <c r="P5" i="88"/>
  <c r="P4" i="88"/>
  <c r="P3" i="88"/>
  <c r="X12" i="32"/>
  <c r="X8" i="32"/>
  <c r="S75" i="32"/>
  <c r="AB59" i="31"/>
  <c r="X59" i="31"/>
  <c r="W59" i="31"/>
  <c r="V59" i="31"/>
  <c r="S59" i="31"/>
  <c r="R59" i="31"/>
  <c r="Q59" i="31"/>
  <c r="P59" i="31"/>
  <c r="M59" i="31"/>
  <c r="L59" i="31"/>
  <c r="K59" i="31"/>
  <c r="H59" i="31"/>
  <c r="G59" i="31"/>
  <c r="F59" i="31"/>
  <c r="AB56" i="31"/>
  <c r="P18" i="88" l="1"/>
  <c r="AC16" i="31"/>
  <c r="X74" i="32"/>
  <c r="X73" i="32"/>
  <c r="X70" i="32"/>
  <c r="X69" i="32"/>
  <c r="X68" i="32"/>
  <c r="X67" i="32"/>
  <c r="X66" i="32"/>
  <c r="X65" i="32"/>
  <c r="X64" i="32"/>
  <c r="X63" i="32"/>
  <c r="X59" i="32"/>
  <c r="X61" i="32" s="1"/>
  <c r="X56" i="32"/>
  <c r="X53" i="32"/>
  <c r="X52" i="32"/>
  <c r="X49" i="32"/>
  <c r="X48" i="32"/>
  <c r="X47" i="32"/>
  <c r="X46" i="32"/>
  <c r="X45" i="32"/>
  <c r="X44" i="32"/>
  <c r="X43" i="32"/>
  <c r="X42" i="32"/>
  <c r="X41" i="32"/>
  <c r="X38" i="32"/>
  <c r="X35" i="32"/>
  <c r="X34" i="32"/>
  <c r="X33" i="32"/>
  <c r="X31" i="32"/>
  <c r="X29" i="32"/>
  <c r="X28" i="32"/>
  <c r="X27" i="32"/>
  <c r="X26" i="32"/>
  <c r="X25" i="32"/>
  <c r="X24" i="32"/>
  <c r="X23" i="32"/>
  <c r="X22" i="32"/>
  <c r="X21" i="32"/>
  <c r="X15" i="32"/>
  <c r="X14" i="32"/>
  <c r="X13" i="32"/>
  <c r="X11" i="32"/>
  <c r="X10" i="32"/>
  <c r="X9" i="32"/>
  <c r="X7" i="32"/>
  <c r="X6" i="32"/>
  <c r="X5" i="32"/>
  <c r="AC56" i="31"/>
  <c r="AC59" i="31" s="1"/>
  <c r="AA56" i="31"/>
  <c r="AA16" i="31"/>
  <c r="AC65" i="32" l="1"/>
  <c r="AA65" i="32"/>
  <c r="AC49" i="32"/>
  <c r="R94" i="32"/>
  <c r="R93" i="32"/>
  <c r="R90" i="32"/>
  <c r="R89" i="32"/>
  <c r="R88" i="32"/>
  <c r="AA48" i="32"/>
  <c r="F2" i="56"/>
  <c r="P2" i="56" s="1"/>
  <c r="E2" i="56"/>
  <c r="AA14" i="32"/>
  <c r="R91" i="32" l="1"/>
  <c r="R95" i="32"/>
  <c r="L25" i="31"/>
  <c r="N25" i="31" s="1"/>
  <c r="N5" i="56"/>
  <c r="L5" i="56"/>
  <c r="J5" i="56"/>
  <c r="H5" i="56"/>
  <c r="F3" i="56"/>
  <c r="P3" i="56" s="1"/>
  <c r="E3" i="56"/>
  <c r="Q94" i="32"/>
  <c r="P94" i="32"/>
  <c r="O94" i="32"/>
  <c r="N94" i="32"/>
  <c r="M94" i="32"/>
  <c r="L94" i="32"/>
  <c r="K94" i="32"/>
  <c r="J94" i="32"/>
  <c r="I94" i="32"/>
  <c r="H94" i="32"/>
  <c r="G94" i="32"/>
  <c r="F94" i="32"/>
  <c r="Q93" i="32"/>
  <c r="P93" i="32"/>
  <c r="O93" i="32"/>
  <c r="N93" i="32"/>
  <c r="M93" i="32"/>
  <c r="L93" i="32"/>
  <c r="K93" i="32"/>
  <c r="J93" i="32"/>
  <c r="I93" i="32"/>
  <c r="H93" i="32"/>
  <c r="G93" i="32"/>
  <c r="F93" i="32"/>
  <c r="Q90" i="32"/>
  <c r="P90" i="32"/>
  <c r="O90" i="32"/>
  <c r="N90" i="32"/>
  <c r="M90" i="32"/>
  <c r="L90" i="32"/>
  <c r="K90" i="32"/>
  <c r="J90" i="32"/>
  <c r="I90" i="32"/>
  <c r="H90" i="32"/>
  <c r="G90" i="32"/>
  <c r="F90" i="32"/>
  <c r="Q89" i="32"/>
  <c r="P89" i="32"/>
  <c r="O89" i="32"/>
  <c r="N89" i="32"/>
  <c r="M89" i="32"/>
  <c r="L89" i="32"/>
  <c r="K89" i="32"/>
  <c r="J89" i="32"/>
  <c r="I89" i="32"/>
  <c r="H89" i="32"/>
  <c r="G89" i="32"/>
  <c r="F89" i="32"/>
  <c r="Q88" i="32"/>
  <c r="P88" i="32"/>
  <c r="O88" i="32"/>
  <c r="N88" i="32"/>
  <c r="M88" i="32"/>
  <c r="L88" i="32"/>
  <c r="K88" i="32"/>
  <c r="J88" i="32"/>
  <c r="I88" i="32"/>
  <c r="H88" i="32"/>
  <c r="G88" i="32"/>
  <c r="F88" i="32"/>
  <c r="AA78" i="32"/>
  <c r="AA77" i="32"/>
  <c r="AA76" i="32"/>
  <c r="AA75" i="32"/>
  <c r="W75" i="32"/>
  <c r="V75" i="32"/>
  <c r="U75" i="32"/>
  <c r="T75" i="32"/>
  <c r="R75" i="32"/>
  <c r="Q75" i="32"/>
  <c r="P75" i="32"/>
  <c r="O75" i="32"/>
  <c r="N75" i="32"/>
  <c r="M75" i="32"/>
  <c r="L75" i="32"/>
  <c r="K75" i="32"/>
  <c r="J75" i="32"/>
  <c r="I75" i="32"/>
  <c r="H75" i="32"/>
  <c r="G75" i="32"/>
  <c r="F75" i="32"/>
  <c r="AA74" i="32"/>
  <c r="AA73" i="32"/>
  <c r="X75" i="32"/>
  <c r="AA72" i="32"/>
  <c r="AA71" i="32"/>
  <c r="W71" i="32"/>
  <c r="V71" i="32"/>
  <c r="U71" i="32"/>
  <c r="T71" i="32"/>
  <c r="S71" i="32"/>
  <c r="R71" i="32"/>
  <c r="Q71" i="32"/>
  <c r="P71" i="32"/>
  <c r="O71" i="32"/>
  <c r="N71" i="32"/>
  <c r="M71" i="32"/>
  <c r="L71" i="32"/>
  <c r="K71" i="32"/>
  <c r="J71" i="32"/>
  <c r="I71" i="32"/>
  <c r="H71" i="32"/>
  <c r="G71" i="32"/>
  <c r="F71" i="32"/>
  <c r="AA70" i="32"/>
  <c r="AA69" i="32"/>
  <c r="AA68" i="32"/>
  <c r="AA67" i="32"/>
  <c r="AA66" i="32"/>
  <c r="AA64" i="32"/>
  <c r="AA63" i="32"/>
  <c r="AA62" i="32"/>
  <c r="K61" i="32"/>
  <c r="J61" i="32"/>
  <c r="I61" i="32"/>
  <c r="H61" i="32"/>
  <c r="G61" i="32"/>
  <c r="F61" i="32"/>
  <c r="AA59" i="32"/>
  <c r="AA57" i="32"/>
  <c r="W57" i="32"/>
  <c r="V57" i="32"/>
  <c r="U57" i="32"/>
  <c r="T57" i="32"/>
  <c r="S57" i="32"/>
  <c r="R57" i="32"/>
  <c r="Q57" i="32"/>
  <c r="P57" i="32"/>
  <c r="O57" i="32"/>
  <c r="N57" i="32"/>
  <c r="M57" i="32"/>
  <c r="L57" i="32"/>
  <c r="K57" i="32"/>
  <c r="J57" i="32"/>
  <c r="I57" i="32"/>
  <c r="H57" i="32"/>
  <c r="G57" i="32"/>
  <c r="F57" i="32"/>
  <c r="AA56" i="32"/>
  <c r="X57" i="32"/>
  <c r="AA55" i="32"/>
  <c r="AA54" i="32"/>
  <c r="W54" i="32"/>
  <c r="V54" i="32"/>
  <c r="U54" i="32"/>
  <c r="T54" i="32"/>
  <c r="S54" i="32"/>
  <c r="R54" i="32"/>
  <c r="Q54" i="32"/>
  <c r="P54" i="32"/>
  <c r="O54" i="32"/>
  <c r="N54" i="32"/>
  <c r="M54" i="32"/>
  <c r="L54" i="32"/>
  <c r="K54" i="32"/>
  <c r="J54" i="32"/>
  <c r="I54" i="32"/>
  <c r="H54" i="32"/>
  <c r="G54" i="32"/>
  <c r="F54" i="32"/>
  <c r="AA53" i="32"/>
  <c r="AA52" i="32"/>
  <c r="AA51" i="32"/>
  <c r="AA50" i="32"/>
  <c r="W50" i="32"/>
  <c r="V50" i="32"/>
  <c r="U50" i="32"/>
  <c r="T50" i="32"/>
  <c r="S50" i="32"/>
  <c r="R50" i="32"/>
  <c r="Q50" i="32"/>
  <c r="P50" i="32"/>
  <c r="O50" i="32"/>
  <c r="N50" i="32"/>
  <c r="M50" i="32"/>
  <c r="L50" i="32"/>
  <c r="K50" i="32"/>
  <c r="J50" i="32"/>
  <c r="I50" i="32"/>
  <c r="H50" i="32"/>
  <c r="G50" i="32"/>
  <c r="F50" i="32"/>
  <c r="AA49" i="32"/>
  <c r="AA47" i="32"/>
  <c r="AA46" i="32"/>
  <c r="AA45" i="32"/>
  <c r="AA44" i="32"/>
  <c r="AA43" i="32"/>
  <c r="AA42" i="32"/>
  <c r="AA41" i="32"/>
  <c r="AA40" i="32"/>
  <c r="AA39" i="32"/>
  <c r="W39" i="32"/>
  <c r="V39" i="32"/>
  <c r="U39" i="32"/>
  <c r="T39" i="32"/>
  <c r="S39" i="32"/>
  <c r="R39" i="32"/>
  <c r="Q39" i="32"/>
  <c r="P39" i="32"/>
  <c r="O39" i="32"/>
  <c r="N39" i="32"/>
  <c r="M39" i="32"/>
  <c r="L39" i="32"/>
  <c r="K39" i="32"/>
  <c r="J39" i="32"/>
  <c r="I39" i="32"/>
  <c r="H39" i="32"/>
  <c r="G39" i="32"/>
  <c r="F39" i="32"/>
  <c r="AA38" i="32"/>
  <c r="AA37" i="32"/>
  <c r="AA36" i="32"/>
  <c r="W36" i="32"/>
  <c r="V36" i="32"/>
  <c r="U36" i="32"/>
  <c r="T36" i="32"/>
  <c r="S36" i="32"/>
  <c r="R36" i="32"/>
  <c r="Q36" i="32"/>
  <c r="P36" i="32"/>
  <c r="O36" i="32"/>
  <c r="N36" i="32"/>
  <c r="M36" i="32"/>
  <c r="L36" i="32"/>
  <c r="K36" i="32"/>
  <c r="J36" i="32"/>
  <c r="I36" i="32"/>
  <c r="H36" i="32"/>
  <c r="G36" i="32"/>
  <c r="F36" i="32"/>
  <c r="AA35" i="32"/>
  <c r="AA34" i="32"/>
  <c r="AA33" i="32"/>
  <c r="AA32" i="32"/>
  <c r="AA30" i="32"/>
  <c r="W30" i="32"/>
  <c r="V30" i="32"/>
  <c r="U30" i="32"/>
  <c r="T30" i="32"/>
  <c r="S30" i="32"/>
  <c r="R30" i="32"/>
  <c r="Q30" i="32"/>
  <c r="P30" i="32"/>
  <c r="O30" i="32"/>
  <c r="N30" i="32"/>
  <c r="M30" i="32"/>
  <c r="L30" i="32"/>
  <c r="K30" i="32"/>
  <c r="J30" i="32"/>
  <c r="I30" i="32"/>
  <c r="H30" i="32"/>
  <c r="G30" i="32"/>
  <c r="F30" i="32"/>
  <c r="AA29" i="32"/>
  <c r="AA28" i="32"/>
  <c r="AA27" i="32"/>
  <c r="AA26" i="32"/>
  <c r="AA25" i="32"/>
  <c r="AA24" i="32"/>
  <c r="AA23" i="32"/>
  <c r="AA22" i="32"/>
  <c r="AA21" i="32"/>
  <c r="AA20" i="32"/>
  <c r="AA19" i="32"/>
  <c r="X19" i="32"/>
  <c r="AA18" i="32"/>
  <c r="AA17" i="32"/>
  <c r="AA16" i="32"/>
  <c r="W16" i="32"/>
  <c r="W17" i="32" s="1"/>
  <c r="V16" i="32"/>
  <c r="V17" i="32" s="1"/>
  <c r="U16" i="32"/>
  <c r="U17" i="32" s="1"/>
  <c r="T16" i="32"/>
  <c r="T17" i="32" s="1"/>
  <c r="S16" i="32"/>
  <c r="R16" i="32"/>
  <c r="R17" i="32" s="1"/>
  <c r="Q16" i="32"/>
  <c r="Q17" i="32" s="1"/>
  <c r="P16" i="32"/>
  <c r="P17" i="32" s="1"/>
  <c r="O16" i="32"/>
  <c r="O17" i="32" s="1"/>
  <c r="N16" i="32"/>
  <c r="N17" i="32" s="1"/>
  <c r="M16" i="32"/>
  <c r="M17" i="32" s="1"/>
  <c r="L16" i="32"/>
  <c r="L17" i="32" s="1"/>
  <c r="K16" i="32"/>
  <c r="K17" i="32" s="1"/>
  <c r="J16" i="32"/>
  <c r="J17" i="32" s="1"/>
  <c r="I16" i="32"/>
  <c r="I17" i="32" s="1"/>
  <c r="H16" i="32"/>
  <c r="H17" i="32" s="1"/>
  <c r="G16" i="32"/>
  <c r="G17" i="32" s="1"/>
  <c r="F16" i="32"/>
  <c r="F17" i="32" s="1"/>
  <c r="AA15" i="32"/>
  <c r="AA10" i="32"/>
  <c r="AA9" i="32"/>
  <c r="AA7" i="32"/>
  <c r="AA6" i="32"/>
  <c r="AA5" i="32"/>
  <c r="F27" i="4"/>
  <c r="F20" i="4"/>
  <c r="F12" i="4"/>
  <c r="F8" i="4"/>
  <c r="F5" i="4"/>
  <c r="E10" i="30" s="1"/>
  <c r="AD60" i="31"/>
  <c r="Y60" i="31"/>
  <c r="T60" i="31"/>
  <c r="N60" i="31"/>
  <c r="I60" i="31"/>
  <c r="Y59" i="31"/>
  <c r="T59" i="31"/>
  <c r="N59" i="31"/>
  <c r="AC58" i="31"/>
  <c r="AD58" i="31" s="1"/>
  <c r="AB58" i="31"/>
  <c r="AA58" i="31"/>
  <c r="Y58" i="31"/>
  <c r="T58" i="31"/>
  <c r="N58" i="31"/>
  <c r="H58" i="31"/>
  <c r="I58" i="31" s="1"/>
  <c r="AB57" i="31"/>
  <c r="Y57" i="31"/>
  <c r="T57" i="31"/>
  <c r="N57" i="31"/>
  <c r="H57" i="31"/>
  <c r="I59" i="31" s="1"/>
  <c r="AD54" i="31"/>
  <c r="Y54" i="31"/>
  <c r="T54" i="31"/>
  <c r="N54" i="31"/>
  <c r="I54" i="31"/>
  <c r="Y53" i="31"/>
  <c r="X53" i="31"/>
  <c r="S53" i="31"/>
  <c r="N53" i="31"/>
  <c r="M53" i="31"/>
  <c r="H53" i="31"/>
  <c r="Y52" i="31"/>
  <c r="N52" i="31"/>
  <c r="H52" i="31"/>
  <c r="AC52" i="31" s="1"/>
  <c r="AC51" i="31"/>
  <c r="Y51" i="31"/>
  <c r="T51" i="31"/>
  <c r="N51" i="31"/>
  <c r="AD50" i="31"/>
  <c r="Y50" i="31"/>
  <c r="T50" i="31"/>
  <c r="N50" i="31"/>
  <c r="I50" i="31"/>
  <c r="AD49" i="31"/>
  <c r="Y49" i="31"/>
  <c r="T49" i="31"/>
  <c r="N49" i="31"/>
  <c r="I49" i="31"/>
  <c r="S47" i="31"/>
  <c r="M47" i="31"/>
  <c r="L47" i="31"/>
  <c r="K47" i="31"/>
  <c r="H47" i="31"/>
  <c r="AC46" i="31"/>
  <c r="Y46" i="31"/>
  <c r="P47" i="31"/>
  <c r="N46" i="31"/>
  <c r="I46" i="31"/>
  <c r="G46" i="31"/>
  <c r="AC45" i="31"/>
  <c r="AD45" i="31" s="1"/>
  <c r="Y45" i="31"/>
  <c r="T45" i="31"/>
  <c r="N45" i="31"/>
  <c r="I45" i="31"/>
  <c r="G45" i="31"/>
  <c r="AB45" i="31" s="1"/>
  <c r="AA45" i="31"/>
  <c r="AC44" i="31"/>
  <c r="Y44" i="31"/>
  <c r="T44" i="31"/>
  <c r="N44" i="31"/>
  <c r="AA44" i="31"/>
  <c r="AC43" i="31"/>
  <c r="Y43" i="31"/>
  <c r="T43" i="31"/>
  <c r="N43" i="31"/>
  <c r="G43" i="31"/>
  <c r="I43" i="31" s="1"/>
  <c r="AA43" i="31"/>
  <c r="AC42" i="31"/>
  <c r="Y42" i="31"/>
  <c r="T42" i="31"/>
  <c r="N42" i="31"/>
  <c r="AA42" i="31"/>
  <c r="AC41" i="31"/>
  <c r="Y41" i="31"/>
  <c r="T41" i="31"/>
  <c r="N41" i="31"/>
  <c r="G41" i="31"/>
  <c r="I41" i="31" s="1"/>
  <c r="AA41" i="31"/>
  <c r="AC40" i="31"/>
  <c r="Y40" i="31"/>
  <c r="T40" i="31"/>
  <c r="N40" i="31"/>
  <c r="AA40" i="31"/>
  <c r="AC39" i="31"/>
  <c r="Y39" i="31"/>
  <c r="T39" i="31"/>
  <c r="N39" i="31"/>
  <c r="G39" i="31"/>
  <c r="AB39" i="31" s="1"/>
  <c r="AA39" i="31"/>
  <c r="AC38" i="31"/>
  <c r="Y38" i="31"/>
  <c r="T38" i="31"/>
  <c r="N38" i="31"/>
  <c r="AA38" i="31"/>
  <c r="T37" i="31"/>
  <c r="N37" i="31"/>
  <c r="I37" i="31"/>
  <c r="G37" i="31"/>
  <c r="AC36" i="31"/>
  <c r="Y36" i="31"/>
  <c r="T36" i="31"/>
  <c r="N36" i="31"/>
  <c r="AA36" i="31"/>
  <c r="AC35" i="31"/>
  <c r="Y35" i="31"/>
  <c r="T35" i="31"/>
  <c r="N35" i="31"/>
  <c r="G35" i="31"/>
  <c r="AB35" i="31" s="1"/>
  <c r="AD35" i="31" s="1"/>
  <c r="AA35" i="31"/>
  <c r="AC34" i="31"/>
  <c r="Y34" i="31"/>
  <c r="T34" i="31"/>
  <c r="N34" i="31"/>
  <c r="AA34" i="31"/>
  <c r="AC33" i="31"/>
  <c r="Y33" i="31"/>
  <c r="T33" i="31"/>
  <c r="N33" i="31"/>
  <c r="G33" i="31"/>
  <c r="AB33" i="31" s="1"/>
  <c r="AA33" i="31"/>
  <c r="AC32" i="31"/>
  <c r="Y32" i="31"/>
  <c r="T32" i="31"/>
  <c r="N32" i="31"/>
  <c r="AD31" i="31"/>
  <c r="Y31" i="31"/>
  <c r="T31" i="31"/>
  <c r="N31" i="31"/>
  <c r="I31" i="31"/>
  <c r="G31" i="31"/>
  <c r="AD30" i="31"/>
  <c r="Y30" i="31"/>
  <c r="T30" i="31"/>
  <c r="N30" i="31"/>
  <c r="I30" i="31"/>
  <c r="AD29" i="31"/>
  <c r="Y29" i="31"/>
  <c r="T29" i="31"/>
  <c r="N29" i="31"/>
  <c r="I29" i="31"/>
  <c r="S28" i="31"/>
  <c r="Q28" i="31"/>
  <c r="M28" i="31"/>
  <c r="K28" i="31"/>
  <c r="K48" i="31" s="1"/>
  <c r="H28" i="31"/>
  <c r="F28" i="31"/>
  <c r="AC26" i="31"/>
  <c r="Y26" i="31"/>
  <c r="R26" i="31"/>
  <c r="R28" i="31" s="1"/>
  <c r="P52" i="31"/>
  <c r="N26" i="31"/>
  <c r="I26" i="31"/>
  <c r="AC25" i="31"/>
  <c r="Y25" i="31"/>
  <c r="T25" i="31"/>
  <c r="AA25" i="31"/>
  <c r="AC24" i="31"/>
  <c r="AD24" i="31" s="1"/>
  <c r="T24" i="31"/>
  <c r="N24" i="31"/>
  <c r="I24" i="31"/>
  <c r="G24" i="31"/>
  <c r="AD23" i="31"/>
  <c r="AC23" i="31"/>
  <c r="Y23" i="31"/>
  <c r="T23" i="31"/>
  <c r="N23" i="31"/>
  <c r="I23" i="31"/>
  <c r="G23" i="31"/>
  <c r="AB23" i="31" s="1"/>
  <c r="AA23" i="31"/>
  <c r="AD22" i="31"/>
  <c r="AC22" i="31"/>
  <c r="Y22" i="31"/>
  <c r="T22" i="31"/>
  <c r="N22" i="31"/>
  <c r="I22" i="31"/>
  <c r="G22" i="31"/>
  <c r="AB22" i="31" s="1"/>
  <c r="AA22" i="31"/>
  <c r="AD21" i="31"/>
  <c r="AC21" i="31"/>
  <c r="Y21" i="31"/>
  <c r="T21" i="31"/>
  <c r="N21" i="31"/>
  <c r="I21" i="31"/>
  <c r="G21" i="31"/>
  <c r="AB21" i="31" s="1"/>
  <c r="AA21" i="31"/>
  <c r="AD20" i="31"/>
  <c r="AC20" i="31"/>
  <c r="Y20" i="31"/>
  <c r="T20" i="31"/>
  <c r="N20" i="31"/>
  <c r="I20" i="31"/>
  <c r="G20" i="31"/>
  <c r="AB20" i="31" s="1"/>
  <c r="AA20" i="31"/>
  <c r="AC19" i="31"/>
  <c r="Y19" i="31"/>
  <c r="T19" i="31"/>
  <c r="N19" i="31"/>
  <c r="AA19" i="31"/>
  <c r="AC18" i="31"/>
  <c r="T18" i="31"/>
  <c r="N18" i="31"/>
  <c r="I18" i="31"/>
  <c r="G18" i="31"/>
  <c r="AC17" i="31"/>
  <c r="Y17" i="31"/>
  <c r="T17" i="31"/>
  <c r="N17" i="31"/>
  <c r="AA17" i="31"/>
  <c r="AD16" i="31"/>
  <c r="Y16" i="31"/>
  <c r="T16" i="31"/>
  <c r="N16" i="31"/>
  <c r="I16" i="31"/>
  <c r="G16" i="31"/>
  <c r="AB16" i="31" s="1"/>
  <c r="AC15" i="31"/>
  <c r="Y15" i="31"/>
  <c r="T15" i="31"/>
  <c r="N15" i="31"/>
  <c r="I15" i="31"/>
  <c r="G15" i="31"/>
  <c r="AB15" i="31" s="1"/>
  <c r="AA15" i="31"/>
  <c r="AD14" i="31"/>
  <c r="AC14" i="31"/>
  <c r="Y14" i="31"/>
  <c r="T14" i="31"/>
  <c r="N14" i="31"/>
  <c r="I14" i="31"/>
  <c r="G14" i="31"/>
  <c r="AA14" i="31"/>
  <c r="P10" i="31"/>
  <c r="V10" i="31" s="1"/>
  <c r="AA10" i="31" s="1"/>
  <c r="K10" i="31"/>
  <c r="E7" i="31"/>
  <c r="K40" i="30"/>
  <c r="I40" i="30"/>
  <c r="G40" i="30"/>
  <c r="K39" i="30"/>
  <c r="I39" i="30"/>
  <c r="G39" i="30"/>
  <c r="M36" i="30"/>
  <c r="M35" i="30"/>
  <c r="M34" i="30"/>
  <c r="K30" i="30"/>
  <c r="I30" i="30"/>
  <c r="G30" i="30"/>
  <c r="M29" i="30"/>
  <c r="G28" i="30"/>
  <c r="E28" i="30"/>
  <c r="M28" i="30" s="1"/>
  <c r="E27" i="30"/>
  <c r="M27" i="30" s="1"/>
  <c r="E26" i="30"/>
  <c r="M26" i="30" s="1"/>
  <c r="E25" i="30"/>
  <c r="E24" i="30"/>
  <c r="M24" i="30" s="1"/>
  <c r="E23" i="30"/>
  <c r="M23" i="30" s="1"/>
  <c r="K18" i="30"/>
  <c r="I18" i="30"/>
  <c r="G18" i="30"/>
  <c r="E16" i="30"/>
  <c r="M16" i="30" s="1"/>
  <c r="E15" i="30"/>
  <c r="M15" i="30" s="1"/>
  <c r="E14" i="30"/>
  <c r="E12" i="30"/>
  <c r="M12" i="30" s="1"/>
  <c r="E11" i="30"/>
  <c r="M11" i="30" s="1"/>
  <c r="V28" i="31" l="1"/>
  <c r="V37" i="31" s="1"/>
  <c r="S17" i="32"/>
  <c r="AH28" i="31"/>
  <c r="M95" i="32"/>
  <c r="L28" i="31"/>
  <c r="L48" i="31" s="1"/>
  <c r="L53" i="31" s="1"/>
  <c r="L55" i="31" s="1"/>
  <c r="L61" i="31" s="1"/>
  <c r="AC57" i="31"/>
  <c r="AD59" i="31" s="1"/>
  <c r="AB25" i="31"/>
  <c r="AD25" i="31" s="1"/>
  <c r="I39" i="31"/>
  <c r="T26" i="31"/>
  <c r="I35" i="31"/>
  <c r="N47" i="31"/>
  <c r="I52" i="31"/>
  <c r="AD57" i="31"/>
  <c r="AB24" i="31"/>
  <c r="AD33" i="31"/>
  <c r="I57" i="31"/>
  <c r="W28" i="31"/>
  <c r="T28" i="31"/>
  <c r="AC53" i="31"/>
  <c r="AD53" i="31" s="1"/>
  <c r="M48" i="31"/>
  <c r="M55" i="31" s="1"/>
  <c r="H48" i="31"/>
  <c r="H55" i="31" s="1"/>
  <c r="AD39" i="31"/>
  <c r="S48" i="31"/>
  <c r="S55" i="31" s="1"/>
  <c r="AD15" i="31"/>
  <c r="R46" i="31"/>
  <c r="T46" i="31" s="1"/>
  <c r="F28" i="4"/>
  <c r="F29" i="4" s="1"/>
  <c r="AA18" i="31"/>
  <c r="X28" i="31"/>
  <c r="Y28" i="31" s="1"/>
  <c r="AA46" i="31"/>
  <c r="AA24" i="31"/>
  <c r="Y24" i="31"/>
  <c r="X39" i="32"/>
  <c r="N76" i="32"/>
  <c r="N77" i="32" s="1"/>
  <c r="N78" i="32" s="1"/>
  <c r="V76" i="32"/>
  <c r="V77" i="32" s="1"/>
  <c r="V78" i="32" s="1"/>
  <c r="H95" i="32"/>
  <c r="X50" i="32"/>
  <c r="G32" i="31"/>
  <c r="I32" i="31" s="1"/>
  <c r="G44" i="31"/>
  <c r="AB44" i="31" s="1"/>
  <c r="AD44" i="31" s="1"/>
  <c r="G42" i="31"/>
  <c r="I42" i="31" s="1"/>
  <c r="G40" i="31"/>
  <c r="G36" i="31"/>
  <c r="AB36" i="31" s="1"/>
  <c r="AD36" i="31" s="1"/>
  <c r="G34" i="31"/>
  <c r="AB34" i="31" s="1"/>
  <c r="AD34" i="31" s="1"/>
  <c r="G19" i="31"/>
  <c r="I19" i="31" s="1"/>
  <c r="P76" i="32"/>
  <c r="P77" i="32" s="1"/>
  <c r="P78" i="32" s="1"/>
  <c r="P95" i="32"/>
  <c r="H76" i="32"/>
  <c r="H77" i="32" s="1"/>
  <c r="H78" i="32" s="1"/>
  <c r="F76" i="32"/>
  <c r="F77" i="32" s="1"/>
  <c r="F78" i="32" s="1"/>
  <c r="G91" i="32"/>
  <c r="O91" i="32"/>
  <c r="K95" i="32"/>
  <c r="I95" i="32"/>
  <c r="G76" i="32"/>
  <c r="G77" i="32" s="1"/>
  <c r="G78" i="32" s="1"/>
  <c r="O76" i="32"/>
  <c r="O77" i="32" s="1"/>
  <c r="O78" i="32" s="1"/>
  <c r="W76" i="32"/>
  <c r="W77" i="32" s="1"/>
  <c r="W78" i="32" s="1"/>
  <c r="X71" i="32"/>
  <c r="I76" i="32"/>
  <c r="I77" i="32" s="1"/>
  <c r="I78" i="32" s="1"/>
  <c r="Q76" i="32"/>
  <c r="Q77" i="32" s="1"/>
  <c r="Q78" i="32" s="1"/>
  <c r="J76" i="32"/>
  <c r="J77" i="32" s="1"/>
  <c r="J78" i="32" s="1"/>
  <c r="R76" i="32"/>
  <c r="R77" i="32" s="1"/>
  <c r="R78" i="32" s="1"/>
  <c r="K76" i="32"/>
  <c r="K77" i="32" s="1"/>
  <c r="K78" i="32" s="1"/>
  <c r="S76" i="32"/>
  <c r="L76" i="32"/>
  <c r="L77" i="32" s="1"/>
  <c r="L78" i="32" s="1"/>
  <c r="T76" i="32"/>
  <c r="T77" i="32" s="1"/>
  <c r="T78" i="32" s="1"/>
  <c r="M76" i="32"/>
  <c r="M77" i="32" s="1"/>
  <c r="M78" i="32" s="1"/>
  <c r="U76" i="32"/>
  <c r="U77" i="32" s="1"/>
  <c r="U78" i="32" s="1"/>
  <c r="X54" i="32"/>
  <c r="G17" i="31"/>
  <c r="AB17" i="31" s="1"/>
  <c r="AD17" i="31" s="1"/>
  <c r="Q91" i="32"/>
  <c r="E13" i="30"/>
  <c r="M13" i="30" s="1"/>
  <c r="F5" i="56"/>
  <c r="P5" i="56" s="1"/>
  <c r="K53" i="31"/>
  <c r="K55" i="31" s="1"/>
  <c r="K61" i="31" s="1"/>
  <c r="E47" i="31"/>
  <c r="Q95" i="32"/>
  <c r="AA26" i="31"/>
  <c r="I25" i="31"/>
  <c r="E51" i="31"/>
  <c r="E53" i="31" s="1"/>
  <c r="AA32" i="31"/>
  <c r="AB41" i="31"/>
  <c r="AD41" i="31" s="1"/>
  <c r="E28" i="31"/>
  <c r="I33" i="31"/>
  <c r="M91" i="32"/>
  <c r="L95" i="32"/>
  <c r="I91" i="32"/>
  <c r="J91" i="32"/>
  <c r="F95" i="32"/>
  <c r="N95" i="32"/>
  <c r="K91" i="32"/>
  <c r="G95" i="32"/>
  <c r="F91" i="32"/>
  <c r="N91" i="32"/>
  <c r="O95" i="32"/>
  <c r="L91" i="32"/>
  <c r="H91" i="32"/>
  <c r="P91" i="32"/>
  <c r="J95" i="32"/>
  <c r="AB26" i="31"/>
  <c r="AD26" i="31" s="1"/>
  <c r="G51" i="31"/>
  <c r="X36" i="32"/>
  <c r="AB14" i="31"/>
  <c r="G38" i="31"/>
  <c r="AB43" i="31"/>
  <c r="AD43" i="31" s="1"/>
  <c r="P28" i="31"/>
  <c r="P48" i="31" s="1"/>
  <c r="X30" i="32"/>
  <c r="R52" i="31"/>
  <c r="T52" i="31" s="1"/>
  <c r="AB18" i="31"/>
  <c r="X16" i="32"/>
  <c r="X17" i="32" s="1"/>
  <c r="F13" i="4"/>
  <c r="F14" i="4" s="1"/>
  <c r="M10" i="30"/>
  <c r="M14" i="30"/>
  <c r="E30" i="30"/>
  <c r="M33" i="30"/>
  <c r="M25" i="30"/>
  <c r="M30" i="30" s="1"/>
  <c r="AC28" i="31"/>
  <c r="R47" i="31"/>
  <c r="AB46" i="31"/>
  <c r="AD46" i="31" s="1"/>
  <c r="Y18" i="31"/>
  <c r="AD18" i="31"/>
  <c r="S77" i="32" l="1"/>
  <c r="S78" i="32" s="1"/>
  <c r="N48" i="31"/>
  <c r="P51" i="31"/>
  <c r="P53" i="31" s="1"/>
  <c r="P55" i="31" s="1"/>
  <c r="P61" i="31" s="1"/>
  <c r="N28" i="31"/>
  <c r="G53" i="31"/>
  <c r="I53" i="31" s="1"/>
  <c r="I51" i="31"/>
  <c r="AB40" i="31"/>
  <c r="AD40" i="31" s="1"/>
  <c r="I40" i="31"/>
  <c r="X37" i="31"/>
  <c r="AC37" i="31" s="1"/>
  <c r="H61" i="31"/>
  <c r="S61" i="31"/>
  <c r="T61" i="31" s="1"/>
  <c r="T55" i="31"/>
  <c r="AA28" i="31"/>
  <c r="AI28" i="31" s="1"/>
  <c r="I44" i="31"/>
  <c r="AB32" i="31"/>
  <c r="AD32" i="31" s="1"/>
  <c r="AB42" i="31"/>
  <c r="AD42" i="31" s="1"/>
  <c r="AB19" i="31"/>
  <c r="AD19" i="31" s="1"/>
  <c r="I36" i="31"/>
  <c r="G47" i="31"/>
  <c r="I47" i="31" s="1"/>
  <c r="I34" i="31"/>
  <c r="G28" i="31"/>
  <c r="I28" i="31" s="1"/>
  <c r="I17" i="31"/>
  <c r="M18" i="30"/>
  <c r="M39" i="30" s="1"/>
  <c r="M40" i="30" s="1"/>
  <c r="E18" i="30"/>
  <c r="E48" i="31"/>
  <c r="E55" i="31" s="1"/>
  <c r="N55" i="31"/>
  <c r="M61" i="31"/>
  <c r="N61" i="31" s="1"/>
  <c r="X76" i="32"/>
  <c r="X77" i="32" s="1"/>
  <c r="X78" i="32" s="1"/>
  <c r="I38" i="31"/>
  <c r="AB38" i="31"/>
  <c r="AD38" i="31" s="1"/>
  <c r="Y37" i="31"/>
  <c r="T47" i="31"/>
  <c r="R48" i="31"/>
  <c r="AA37" i="31"/>
  <c r="AA47" i="31" s="1"/>
  <c r="V47" i="31"/>
  <c r="V48" i="31" s="1"/>
  <c r="W37" i="31" l="1"/>
  <c r="W47" i="31" s="1"/>
  <c r="W48" i="31" s="1"/>
  <c r="X47" i="31"/>
  <c r="X48" i="31" s="1"/>
  <c r="X55" i="31" s="1"/>
  <c r="AA57" i="31"/>
  <c r="AA59" i="31" s="1"/>
  <c r="E59" i="31"/>
  <c r="E61" i="31" s="1"/>
  <c r="AB28" i="31"/>
  <c r="AD28" i="31" s="1"/>
  <c r="AA48" i="31"/>
  <c r="G48" i="31"/>
  <c r="T48" i="31"/>
  <c r="R51" i="31"/>
  <c r="V51" i="31"/>
  <c r="V52" i="31"/>
  <c r="AA52" i="31" s="1"/>
  <c r="Y47" i="31"/>
  <c r="AC47" i="31"/>
  <c r="AD37" i="31"/>
  <c r="AB37" i="31" l="1"/>
  <c r="AB47" i="31" s="1"/>
  <c r="AB48" i="31" s="1"/>
  <c r="G55" i="31"/>
  <c r="G61" i="31" s="1"/>
  <c r="I61" i="31" s="1"/>
  <c r="I48" i="31"/>
  <c r="F33" i="4"/>
  <c r="V53" i="31"/>
  <c r="V55" i="31" s="1"/>
  <c r="AA51" i="31"/>
  <c r="AA53" i="31" s="1"/>
  <c r="W52" i="31"/>
  <c r="AB52" i="31" s="1"/>
  <c r="AD52" i="31" s="1"/>
  <c r="W51" i="31"/>
  <c r="AC48" i="31"/>
  <c r="R53" i="31"/>
  <c r="AC55" i="31"/>
  <c r="Y48" i="31"/>
  <c r="AD47" i="31" l="1"/>
  <c r="V61" i="31"/>
  <c r="AA55" i="31"/>
  <c r="AA61" i="31" s="1"/>
  <c r="I55" i="31"/>
  <c r="AD48" i="31"/>
  <c r="T53" i="31"/>
  <c r="R55" i="31"/>
  <c r="R61" i="31" s="1"/>
  <c r="F34" i="4"/>
  <c r="E37" i="30"/>
  <c r="W53" i="31"/>
  <c r="W55" i="31" s="1"/>
  <c r="W61" i="31" s="1"/>
  <c r="X61" i="31"/>
  <c r="Y61" i="31" s="1"/>
  <c r="AB51" i="31"/>
  <c r="AB55" i="31" l="1"/>
  <c r="AB61" i="31" s="1"/>
  <c r="AB53" i="31"/>
  <c r="AD51" i="31"/>
  <c r="AC61" i="31"/>
  <c r="AD61" i="31" s="1"/>
  <c r="AD55" i="31"/>
  <c r="M37" i="30" l="1"/>
  <c r="E39" i="30"/>
  <c r="E40" i="30" l="1"/>
  <c r="E42" i="30" s="1"/>
</calcChain>
</file>

<file path=xl/sharedStrings.xml><?xml version="1.0" encoding="utf-8"?>
<sst xmlns="http://schemas.openxmlformats.org/spreadsheetml/2006/main" count="487" uniqueCount="303">
  <si>
    <t>Type</t>
  </si>
  <si>
    <t>Date</t>
  </si>
  <si>
    <t>Num</t>
  </si>
  <si>
    <t>Name</t>
  </si>
  <si>
    <t>Memo</t>
  </si>
  <si>
    <t>Split</t>
  </si>
  <si>
    <t>Amount</t>
  </si>
  <si>
    <t>City National Bank</t>
  </si>
  <si>
    <t>1132000 · A/R District School Board FEFP</t>
  </si>
  <si>
    <t>20000 · Accounts Payable</t>
  </si>
  <si>
    <t>2170000 · Federal Withholding Payable</t>
  </si>
  <si>
    <t>2173000 · State Unemployment Payable</t>
  </si>
  <si>
    <t>2174000 · Group Insurance</t>
  </si>
  <si>
    <t>2176000 · Accrued Liabilities</t>
  </si>
  <si>
    <t>2211100 · Salaries Payable - Current</t>
  </si>
  <si>
    <t>4000000 · Revenues</t>
  </si>
  <si>
    <t>4310010 · Basic FEFP</t>
  </si>
  <si>
    <t>4312170 · Safe Schools</t>
  </si>
  <si>
    <t>4312180 · Supplemental Academic Instr.</t>
  </si>
  <si>
    <t>4336550 · Instructional Materials</t>
  </si>
  <si>
    <t>4355600 · Class Size Reduction</t>
  </si>
  <si>
    <t>4357000 · Reading Allocation</t>
  </si>
  <si>
    <t>4358500 · Teacher Salary Increase</t>
  </si>
  <si>
    <t>Total 4000000 · Revenues</t>
  </si>
  <si>
    <t>Consultant Fees</t>
  </si>
  <si>
    <t>5100000 · 5100 Expenses</t>
  </si>
  <si>
    <t>5101200 · Wages-Teachers</t>
  </si>
  <si>
    <t>5101400 · Wages-Substitutes</t>
  </si>
  <si>
    <t>5102200 · Benefits-SS &amp; Medicare</t>
  </si>
  <si>
    <t>5102300 · Benefits-Group Insurance</t>
  </si>
  <si>
    <t>5102400 · Benefits-Workers' Comp.</t>
  </si>
  <si>
    <t>5102500 · Benefits-Unemployment</t>
  </si>
  <si>
    <t>5105200 · Textbooks</t>
  </si>
  <si>
    <t>5106430 · Capitalized Computer Hardware</t>
  </si>
  <si>
    <t>5106900 · Computer Software</t>
  </si>
  <si>
    <t>Total 5100000 · 5100 Expenses</t>
  </si>
  <si>
    <t>General Journal</t>
  </si>
  <si>
    <t>1</t>
  </si>
  <si>
    <t>2</t>
  </si>
  <si>
    <t>3</t>
  </si>
  <si>
    <t>4</t>
  </si>
  <si>
    <t>ANSA Distribution and Services, Corp</t>
  </si>
  <si>
    <t>Copier Merchandise Inc</t>
  </si>
  <si>
    <t>Davids Food &amp; Fun, Inc.</t>
  </si>
  <si>
    <t>Jurney &amp; Associates, Inc</t>
  </si>
  <si>
    <t>FSBD</t>
  </si>
  <si>
    <t>All Florida Paper</t>
  </si>
  <si>
    <t>Cinderella Holdings II LLC</t>
  </si>
  <si>
    <t>District School Board</t>
  </si>
  <si>
    <t>FEFP Receivable - July 2022 - Based on 126 FTE</t>
  </si>
  <si>
    <t>FEFP Receivable - Aug 2022 - Based on 126 FTE</t>
  </si>
  <si>
    <t>FEFP Receivable - Sep 2022 - Based on 126 FTE</t>
  </si>
  <si>
    <t>FEFP Receivable - Oct 2022 - Based on 126 FTE</t>
  </si>
  <si>
    <t>Accrued Payroll Liability - First Half July 2022</t>
  </si>
  <si>
    <t>Accrued Payroll Liability - Second July 2022</t>
  </si>
  <si>
    <t>Accrued Payroll Liability - First Half Aug 2022</t>
  </si>
  <si>
    <t>7303300 · Travel 7300</t>
  </si>
  <si>
    <t>7507300 · Bank Fees</t>
  </si>
  <si>
    <t>7107300 · Dues &amp; Fees 7100</t>
  </si>
  <si>
    <t>8206301 · Software - Online</t>
  </si>
  <si>
    <t>69800 · Uncategorized Expenses</t>
  </si>
  <si>
    <t>7306420 · Furn.,Fix.&amp;Equip.-Non-Cap. 7300</t>
  </si>
  <si>
    <t>7305100 · Consumable Supplies 7300</t>
  </si>
  <si>
    <t>7903530 · Repair &amp; Maintenance 7900</t>
  </si>
  <si>
    <t>8203511 · Computer Repairs</t>
  </si>
  <si>
    <t>7903520 · Security System 7900</t>
  </si>
  <si>
    <t>7605700 · Food Purchases 7600</t>
  </si>
  <si>
    <t>7103200 · Directors' Insurance</t>
  </si>
  <si>
    <t>7903200 · Insurance 7900</t>
  </si>
  <si>
    <t>7905100 · Supplies 7900</t>
  </si>
  <si>
    <t>-SPLIT-</t>
  </si>
  <si>
    <t>7903641 · Rentals/Lease - Facility Rent</t>
  </si>
  <si>
    <t>7203100 · ESP Contracted</t>
  </si>
  <si>
    <t>7301100 · Wages 7300</t>
  </si>
  <si>
    <t>7100000 · 7100 Expense</t>
  </si>
  <si>
    <t>Total 7100000 · 7100 Expense</t>
  </si>
  <si>
    <t>7200000 · 7200 Expense</t>
  </si>
  <si>
    <t>Total 7200000 · 7200 Expense</t>
  </si>
  <si>
    <t>7300000 · 7300 Expense</t>
  </si>
  <si>
    <t>7302200 · Benefits-SS &amp; Medicare 7300</t>
  </si>
  <si>
    <t>7302300 · Benefits-Group Ins. 7300</t>
  </si>
  <si>
    <t>7302400 · Benefits-Workers' Comp 7300</t>
  </si>
  <si>
    <t>7302500 · Benefits-Unemployment 7300</t>
  </si>
  <si>
    <t>Total 7300000 · 7300 Expense</t>
  </si>
  <si>
    <t>7500000 · 7500 Expense</t>
  </si>
  <si>
    <t>7507310 · FEFP Dist. Admin. Fee</t>
  </si>
  <si>
    <t>Total 7500000 · 7500 Expense</t>
  </si>
  <si>
    <t>7600000 · 7600 Expense</t>
  </si>
  <si>
    <t>Total 7600000 · 7600 Expense</t>
  </si>
  <si>
    <t>7900000 · 7900 Expense</t>
  </si>
  <si>
    <t>Total 7900000 · 7900 Expense</t>
  </si>
  <si>
    <t>8200000 · 8200 - Expense</t>
  </si>
  <si>
    <t>Total 8200000 · 8200 - Expense</t>
  </si>
  <si>
    <t>Oct 31, 22</t>
  </si>
  <si>
    <t>ASSETS</t>
  </si>
  <si>
    <t>Current Assets</t>
  </si>
  <si>
    <t>Checking/Savings</t>
  </si>
  <si>
    <t>Total Checking/Savings</t>
  </si>
  <si>
    <t>Other Current Assets</t>
  </si>
  <si>
    <t>Total Other Current Assets</t>
  </si>
  <si>
    <t>Total Current Assets</t>
  </si>
  <si>
    <t>TOTAL ASSETS</t>
  </si>
  <si>
    <t>LIABILITIES &amp; EQUITY</t>
  </si>
  <si>
    <t>Liabilities</t>
  </si>
  <si>
    <t>Current Liabilities</t>
  </si>
  <si>
    <t>Accounts Payable</t>
  </si>
  <si>
    <t>Total Accounts Payable</t>
  </si>
  <si>
    <t>Other Current Liabilities</t>
  </si>
  <si>
    <t>Total Other Current Liabilities</t>
  </si>
  <si>
    <t>Total Current Liabilities</t>
  </si>
  <si>
    <t>Total Liabilities</t>
  </si>
  <si>
    <t>Equity</t>
  </si>
  <si>
    <t>Net Income</t>
  </si>
  <si>
    <t>Total Equity</t>
  </si>
  <si>
    <t>TOTAL LIABILITIES &amp; EQUITY</t>
  </si>
  <si>
    <t>Ordinary Income/Expense</t>
  </si>
  <si>
    <t>Income</t>
  </si>
  <si>
    <t>Total Income</t>
  </si>
  <si>
    <t>Expense</t>
  </si>
  <si>
    <t>Total Expense</t>
  </si>
  <si>
    <t>Net Ordinary Income</t>
  </si>
  <si>
    <t>Three accruals of Salary - July 1, July 2 and Aug 1</t>
  </si>
  <si>
    <t>4495000 · Other Misc. Revenue</t>
  </si>
  <si>
    <t>Gabriel Herrera</t>
  </si>
  <si>
    <t>7700000 · 7700 Expense</t>
  </si>
  <si>
    <t>7723110 · Recruiting</t>
  </si>
  <si>
    <t>Total 7700000 · 7700 Expense</t>
  </si>
  <si>
    <t>7906420 · Furn/Fix/Equip Noncap. 7900</t>
  </si>
  <si>
    <t>7907300 · Dues &amp; Fees 7900</t>
  </si>
  <si>
    <t>TOTAL</t>
  </si>
  <si>
    <t>Brightview Preparatory Academy with MSID Number 5056</t>
  </si>
  <si>
    <t>Miami Dade County, Florida</t>
  </si>
  <si>
    <t>Balance Sheet (Unaudited)</t>
  </si>
  <si>
    <t>Accounts</t>
  </si>
  <si>
    <t>General Fund</t>
  </si>
  <si>
    <t>Special Revenue Fund</t>
  </si>
  <si>
    <t>Debt Service</t>
  </si>
  <si>
    <t>Capital Outlay</t>
  </si>
  <si>
    <t>Total Governmental Funds</t>
  </si>
  <si>
    <t>Cash and cash equivalents</t>
  </si>
  <si>
    <t>Investments</t>
  </si>
  <si>
    <t>Grant receivables</t>
  </si>
  <si>
    <t>Other current assets/ Accounts Receivable</t>
  </si>
  <si>
    <t>12XX</t>
  </si>
  <si>
    <t>Deposits</t>
  </si>
  <si>
    <t>Due from other funds</t>
  </si>
  <si>
    <t>Other long-term assets</t>
  </si>
  <si>
    <t>Total Assets</t>
  </si>
  <si>
    <t>LIABILITIES AND FUND BALANCE</t>
  </si>
  <si>
    <t>Accounts payable</t>
  </si>
  <si>
    <t>Salaries, benefits, and payroll taxes payable</t>
  </si>
  <si>
    <t>2110, 2170, 2330</t>
  </si>
  <si>
    <t>Deferred revenue</t>
  </si>
  <si>
    <t>Notes/bonds payable Due in current year</t>
  </si>
  <si>
    <t>2180, 2250, 2310, 2320</t>
  </si>
  <si>
    <t>Lease payable</t>
  </si>
  <si>
    <t>Other liabilities</t>
  </si>
  <si>
    <t>21XX, 22XX, 23XX</t>
  </si>
  <si>
    <t>Fund Balance</t>
  </si>
  <si>
    <t>Nonspendable</t>
  </si>
  <si>
    <t>Restricted</t>
  </si>
  <si>
    <t>Committed</t>
  </si>
  <si>
    <t>Assigned</t>
  </si>
  <si>
    <t>Unassigned</t>
  </si>
  <si>
    <t>Total Fund Balance</t>
  </si>
  <si>
    <t>TOTAL LIABILITIES AND FUND BALANCE</t>
  </si>
  <si>
    <t>The school has already started paying the increased teacher salaries and waiting for the FEFP to increase to include the payraise</t>
  </si>
  <si>
    <t>Fund Balances, Ending</t>
  </si>
  <si>
    <t>Fund Balances, Beginning as Restated</t>
  </si>
  <si>
    <t>Adjustments to beginning fund balance</t>
  </si>
  <si>
    <t>Fund balances, beginning</t>
  </si>
  <si>
    <t>Net Change in Fund Balances</t>
  </si>
  <si>
    <t>Total Other Financing Sources (Uses)</t>
  </si>
  <si>
    <t>Transfers out</t>
  </si>
  <si>
    <t>Transfers in</t>
  </si>
  <si>
    <t>Other Financing Sources (Uses)</t>
  </si>
  <si>
    <t>Excess (Deficiency) of Revenues Over Expenditures</t>
  </si>
  <si>
    <t>Total Expenditures</t>
  </si>
  <si>
    <t>Debt service</t>
  </si>
  <si>
    <t>Community services</t>
  </si>
  <si>
    <t>Administrative technology services</t>
  </si>
  <si>
    <t>Maintenance of plant</t>
  </si>
  <si>
    <t>Operation of plant</t>
  </si>
  <si>
    <t>Pupil transportation services</t>
  </si>
  <si>
    <t>Central services</t>
  </si>
  <si>
    <t>Food services</t>
  </si>
  <si>
    <t>Fiscal services</t>
  </si>
  <si>
    <t>Facilities and acquisition</t>
  </si>
  <si>
    <t>School administration</t>
  </si>
  <si>
    <t>Board</t>
  </si>
  <si>
    <t>Instructional support services</t>
  </si>
  <si>
    <t>Instruction</t>
  </si>
  <si>
    <t>Current Expenditures</t>
  </si>
  <si>
    <t>Expenditures</t>
  </si>
  <si>
    <t>Total Revenues</t>
  </si>
  <si>
    <t>34XX</t>
  </si>
  <si>
    <t xml:space="preserve">    Local capital improvement tax</t>
  </si>
  <si>
    <t xml:space="preserve">    Interest</t>
  </si>
  <si>
    <t>LOCAL SOURCES</t>
  </si>
  <si>
    <t>33XX</t>
  </si>
  <si>
    <t xml:space="preserve">    Other state revenue</t>
  </si>
  <si>
    <t xml:space="preserve">    School recognition</t>
  </si>
  <si>
    <t xml:space="preserve">    Class size reduction</t>
  </si>
  <si>
    <t xml:space="preserve">    Capital outlay</t>
  </si>
  <si>
    <t xml:space="preserve">    FEFP</t>
  </si>
  <si>
    <t xml:space="preserve">STATE SOURCES </t>
  </si>
  <si>
    <t xml:space="preserve">    Federal through state and local</t>
  </si>
  <si>
    <t xml:space="preserve">    Federal direct</t>
  </si>
  <si>
    <t xml:space="preserve">FEDERAL SOURCES </t>
  </si>
  <si>
    <t>Revenues</t>
  </si>
  <si>
    <t>% of YTD
Actual to
Annual Budget</t>
  </si>
  <si>
    <t>Annual Budget</t>
  </si>
  <si>
    <t>YTD Actual</t>
  </si>
  <si>
    <t>August YTD</t>
  </si>
  <si>
    <t>Account Number</t>
  </si>
  <si>
    <t>Special Revenue</t>
  </si>
  <si>
    <t>Percent of Projected</t>
  </si>
  <si>
    <t>FTE Actual</t>
  </si>
  <si>
    <t>FTE Projected</t>
  </si>
  <si>
    <t>Statement of Revenue, Expenditures, and Changes in Fund Balance (Unaudited)</t>
  </si>
  <si>
    <t>ESP Contracted Services</t>
  </si>
  <si>
    <t>&gt; 90</t>
  </si>
  <si>
    <t>61 - 90</t>
  </si>
  <si>
    <t>31 - 60</t>
  </si>
  <si>
    <t>1 - 30</t>
  </si>
  <si>
    <t>Current</t>
  </si>
  <si>
    <t>Total</t>
  </si>
  <si>
    <t>Accounts Receivable</t>
  </si>
  <si>
    <t>Nov 30, 22</t>
  </si>
  <si>
    <t>Educatio Management LLC.</t>
  </si>
  <si>
    <t>FEFP Receivable - Nov 2022 - Based on 126 FTE</t>
  </si>
  <si>
    <t>Fingerprint Technologies</t>
  </si>
  <si>
    <t>Jan 31, 22</t>
  </si>
  <si>
    <t>Feb 28, 22</t>
  </si>
  <si>
    <t>Mar 31, 22</t>
  </si>
  <si>
    <t>Apr 30, 22</t>
  </si>
  <si>
    <t>May 31, 22</t>
  </si>
  <si>
    <t>Jun 30, 22</t>
  </si>
  <si>
    <t>Jul 31, 22</t>
  </si>
  <si>
    <t>Aug 31, 22</t>
  </si>
  <si>
    <t>Sep 30, 22</t>
  </si>
  <si>
    <t>11000 · Accounts Receivable</t>
  </si>
  <si>
    <t>Total Accounts Receivable</t>
  </si>
  <si>
    <t>Clr</t>
  </si>
  <si>
    <t>Class</t>
  </si>
  <si>
    <t>7103110 · Prof.&amp;Tech.Services-Audit</t>
  </si>
  <si>
    <t>Audit accrual upto Nov 2022 (5Months-750/Month)</t>
  </si>
  <si>
    <t>Dec 31, 22</t>
  </si>
  <si>
    <t>22</t>
  </si>
  <si>
    <t>24</t>
  </si>
  <si>
    <t>21</t>
  </si>
  <si>
    <t>Audit accrual - Dec 2022 - 750/month</t>
  </si>
  <si>
    <t>Deposit</t>
  </si>
  <si>
    <t>Proceeds from Issuing Long-term Debt</t>
  </si>
  <si>
    <t>1131000 · A/R Local Referendum Funds</t>
  </si>
  <si>
    <t>4474009 · Local Referendum Funds</t>
  </si>
  <si>
    <t xml:space="preserve">    Other local revenue - Referendum Funds</t>
  </si>
  <si>
    <t>These are the receivables against FEFP and referendum funds. See the AR Aging report for the breakdown.</t>
  </si>
  <si>
    <t>These are the payables to the vendors. See the AP Aging report for the breakdowns.</t>
  </si>
  <si>
    <t>Details</t>
  </si>
  <si>
    <t>This is the accrual against summer time wages and audit fee.</t>
  </si>
  <si>
    <t>7903521 · Security Services 7900</t>
  </si>
  <si>
    <t>Jan 31, 23</t>
  </si>
  <si>
    <t>7307300 · Dues &amp; Fees 7300</t>
  </si>
  <si>
    <t>Audit accrual - Jan 2023 - 750/month</t>
  </si>
  <si>
    <t>FEFP Receivable - Jan 2023 - Based on 132 FTE</t>
  </si>
  <si>
    <t>Sunshine Janitorial</t>
  </si>
  <si>
    <t>Fund Balance Prior to July 2022</t>
  </si>
  <si>
    <t>Unrestricted Net Assets</t>
  </si>
  <si>
    <t>Audit accrual - Feb 2023 - 750/month</t>
  </si>
  <si>
    <t>FEFP Receivable - Feb 2023 - Based on 132 FTE</t>
  </si>
  <si>
    <t>Feb 28, 23</t>
  </si>
  <si>
    <t>4330020 · ESE Guaranteed</t>
  </si>
  <si>
    <t>4358000 · Mental Health Assistance</t>
  </si>
  <si>
    <t>\</t>
  </si>
  <si>
    <t>Audit accrual - Mar 2023 - 750/month</t>
  </si>
  <si>
    <t>FEFP Receivable - Mar 2023 - Based on 132 FTE</t>
  </si>
  <si>
    <t>7723120 · Marketing</t>
  </si>
  <si>
    <t>National Security Systems And Fire, Inc</t>
  </si>
  <si>
    <t>Mar 31, 23</t>
  </si>
  <si>
    <t>March 2023</t>
  </si>
  <si>
    <t>Addtional safe school allocation - Mar 2023</t>
  </si>
  <si>
    <t>For Month and YTD Quarter for the Period Ending  March 2023</t>
  </si>
  <si>
    <t>March Actual</t>
  </si>
  <si>
    <t>Balance</t>
  </si>
  <si>
    <t>13</t>
  </si>
  <si>
    <t>14</t>
  </si>
  <si>
    <t>Total 2176000 · Accrued Liabilities</t>
  </si>
  <si>
    <t>Total 12000 · Undeposited Funds</t>
  </si>
  <si>
    <t>Ö</t>
  </si>
  <si>
    <t>Payment</t>
  </si>
  <si>
    <t>12000 · Undeposited Funds</t>
  </si>
  <si>
    <t>Total 1132000 · A/R District School Board FEFP</t>
  </si>
  <si>
    <t>For Feb 2023</t>
  </si>
  <si>
    <t>Jan 2023 Payment</t>
  </si>
  <si>
    <t>Dec 2022 Payment</t>
  </si>
  <si>
    <t>FEFP Receivable - Dec 2022 - Based on 132 FTE</t>
  </si>
  <si>
    <t>15</t>
  </si>
  <si>
    <t>Payment for Nov 2022</t>
  </si>
  <si>
    <t>Total 1131000 · A/R Local Referendum Funds</t>
  </si>
  <si>
    <t>Addtional safe school allocation - Feb 2023</t>
  </si>
  <si>
    <t>Addtional safe school allocation - Jan 2023</t>
  </si>
  <si>
    <t>Addtional safe school allocation - This is equal to the YTD Security Expenditure of Jurney Assoc...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</si>
</sst>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  <numFmt numFmtId="165" formatCode="_(* #,##0_);_(* \(#,##0\);_(* &quot;-&quot;??_);_(@_)"/>
    <numFmt numFmtId="166" formatCode="[$-409]mmmm\-yy;@"/>
    <numFmt numFmtId="167" formatCode="#,##0;\-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323232"/>
      <name val="Times New Roman"/>
      <family val="1"/>
    </font>
    <font>
      <sz val="12"/>
      <color rgb="FF323232"/>
      <name val="Times New Roman"/>
      <family val="1"/>
    </font>
    <font>
      <b/>
      <sz val="11"/>
      <color rgb="FF323232"/>
      <name val="Times New Roman"/>
      <family val="1"/>
    </font>
    <font>
      <sz val="11"/>
      <color rgb="FF323232"/>
      <name val="Times New Roman"/>
      <family val="1"/>
    </font>
    <font>
      <sz val="11"/>
      <color rgb="FF000000"/>
      <name val="Times New Roman"/>
      <family val="1"/>
    </font>
    <font>
      <b/>
      <sz val="8"/>
      <color rgb="FF323232"/>
      <name val="Symbol"/>
      <family val="1"/>
      <charset val="2"/>
    </font>
    <font>
      <sz val="8"/>
      <color rgb="FF323232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</cellStyleXfs>
  <cellXfs count="123">
    <xf numFmtId="0" fontId="0" fillId="0" borderId="0" xfId="0"/>
    <xf numFmtId="49" fontId="2" fillId="0" borderId="0" xfId="0" applyNumberFormat="1" applyFont="1"/>
    <xf numFmtId="164" fontId="3" fillId="0" borderId="0" xfId="0" applyNumberFormat="1" applyFont="1"/>
    <xf numFmtId="0" fontId="2" fillId="0" borderId="0" xfId="0" applyFont="1"/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165" fontId="8" fillId="0" borderId="0" xfId="1" applyNumberFormat="1" applyFont="1" applyAlignment="1">
      <alignment horizontal="right"/>
    </xf>
    <xf numFmtId="0" fontId="11" fillId="0" borderId="0" xfId="0" applyFont="1"/>
    <xf numFmtId="43" fontId="11" fillId="0" borderId="0" xfId="0" applyNumberFormat="1" applyFont="1"/>
    <xf numFmtId="0" fontId="8" fillId="0" borderId="0" xfId="0" applyFont="1"/>
    <xf numFmtId="43" fontId="8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13" fillId="0" borderId="0" xfId="3" applyFont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4" fillId="0" borderId="0" xfId="0" applyFont="1"/>
    <xf numFmtId="0" fontId="8" fillId="0" borderId="0" xfId="0" applyFont="1" applyAlignment="1">
      <alignment horizontal="center"/>
    </xf>
    <xf numFmtId="165" fontId="10" fillId="0" borderId="7" xfId="1" applyNumberFormat="1" applyFont="1" applyBorder="1" applyAlignment="1">
      <alignment horizontal="right"/>
    </xf>
    <xf numFmtId="165" fontId="10" fillId="0" borderId="0" xfId="1" applyNumberFormat="1" applyFont="1" applyAlignment="1">
      <alignment horizontal="right"/>
    </xf>
    <xf numFmtId="165" fontId="8" fillId="0" borderId="0" xfId="1" applyNumberFormat="1" applyFont="1" applyFill="1" applyAlignment="1">
      <alignment horizontal="right"/>
    </xf>
    <xf numFmtId="165" fontId="10" fillId="0" borderId="8" xfId="1" applyNumberFormat="1" applyFont="1" applyBorder="1" applyAlignment="1">
      <alignment horizontal="right"/>
    </xf>
    <xf numFmtId="42" fontId="11" fillId="0" borderId="0" xfId="0" applyNumberFormat="1" applyFont="1"/>
    <xf numFmtId="42" fontId="8" fillId="0" borderId="0" xfId="0" applyNumberFormat="1" applyFont="1"/>
    <xf numFmtId="0" fontId="13" fillId="0" borderId="0" xfId="3" applyFont="1" applyProtection="1">
      <protection locked="0"/>
    </xf>
    <xf numFmtId="0" fontId="8" fillId="0" borderId="6" xfId="0" applyFont="1" applyBorder="1"/>
    <xf numFmtId="0" fontId="8" fillId="0" borderId="8" xfId="0" applyFont="1" applyBorder="1"/>
    <xf numFmtId="9" fontId="8" fillId="0" borderId="0" xfId="5" applyFont="1" applyFill="1" applyAlignment="1">
      <alignment horizontal="right"/>
    </xf>
    <xf numFmtId="0" fontId="13" fillId="0" borderId="0" xfId="3" applyFont="1" applyAlignment="1" applyProtection="1">
      <alignment horizontal="left"/>
      <protection locked="0"/>
    </xf>
    <xf numFmtId="0" fontId="8" fillId="0" borderId="0" xfId="0" applyFont="1" applyAlignment="1">
      <alignment wrapText="1"/>
    </xf>
    <xf numFmtId="0" fontId="13" fillId="0" borderId="6" xfId="3" applyFont="1" applyBorder="1" applyAlignment="1" applyProtection="1">
      <alignment horizontal="center" wrapText="1"/>
      <protection locked="0"/>
    </xf>
    <xf numFmtId="0" fontId="13" fillId="0" borderId="8" xfId="3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wrapText="1"/>
    </xf>
    <xf numFmtId="0" fontId="13" fillId="0" borderId="0" xfId="3" applyFont="1" applyAlignment="1" applyProtection="1">
      <alignment horizontal="center" wrapText="1"/>
      <protection locked="0"/>
    </xf>
    <xf numFmtId="43" fontId="8" fillId="0" borderId="0" xfId="1" applyFont="1"/>
    <xf numFmtId="165" fontId="8" fillId="0" borderId="0" xfId="1" applyNumberFormat="1" applyFont="1"/>
    <xf numFmtId="0" fontId="15" fillId="0" borderId="0" xfId="3" applyFont="1" applyProtection="1">
      <protection locked="0"/>
    </xf>
    <xf numFmtId="0" fontId="15" fillId="0" borderId="0" xfId="3" applyFont="1" applyAlignment="1" applyProtection="1">
      <alignment horizontal="center"/>
      <protection locked="0"/>
    </xf>
    <xf numFmtId="44" fontId="8" fillId="0" borderId="0" xfId="4" applyFont="1" applyFill="1" applyAlignment="1">
      <alignment horizontal="right"/>
    </xf>
    <xf numFmtId="43" fontId="8" fillId="0" borderId="0" xfId="1" applyFont="1" applyFill="1" applyAlignment="1">
      <alignment horizontal="right"/>
    </xf>
    <xf numFmtId="0" fontId="15" fillId="0" borderId="0" xfId="3" applyFont="1" applyAlignment="1" applyProtection="1">
      <alignment horizontal="center" wrapText="1"/>
      <protection locked="0"/>
    </xf>
    <xf numFmtId="0" fontId="8" fillId="0" borderId="0" xfId="0" applyFont="1" applyAlignment="1">
      <alignment horizontal="right"/>
    </xf>
    <xf numFmtId="43" fontId="8" fillId="0" borderId="0" xfId="1" applyFont="1" applyAlignment="1">
      <alignment horizontal="right"/>
    </xf>
    <xf numFmtId="165" fontId="10" fillId="0" borderId="8" xfId="1" applyNumberFormat="1" applyFont="1" applyFill="1" applyBorder="1" applyAlignment="1">
      <alignment horizontal="right"/>
    </xf>
    <xf numFmtId="9" fontId="10" fillId="0" borderId="8" xfId="5" applyFont="1" applyFill="1" applyBorder="1" applyAlignment="1">
      <alignment horizontal="right"/>
    </xf>
    <xf numFmtId="165" fontId="10" fillId="0" borderId="0" xfId="1" applyNumberFormat="1" applyFont="1" applyFill="1" applyAlignment="1">
      <alignment horizontal="right"/>
    </xf>
    <xf numFmtId="43" fontId="10" fillId="0" borderId="8" xfId="1" applyFont="1" applyFill="1" applyBorder="1" applyAlignment="1">
      <alignment horizontal="right"/>
    </xf>
    <xf numFmtId="39" fontId="8" fillId="0" borderId="0" xfId="1" applyNumberFormat="1" applyFont="1" applyFill="1" applyAlignment="1">
      <alignment horizontal="right"/>
    </xf>
    <xf numFmtId="0" fontId="15" fillId="0" borderId="0" xfId="3" applyFont="1" applyAlignment="1" applyProtection="1">
      <alignment horizontal="left"/>
      <protection locked="0"/>
    </xf>
    <xf numFmtId="43" fontId="10" fillId="0" borderId="0" xfId="1" applyFont="1" applyFill="1" applyAlignment="1">
      <alignment horizontal="right"/>
    </xf>
    <xf numFmtId="165" fontId="10" fillId="0" borderId="6" xfId="1" applyNumberFormat="1" applyFont="1" applyFill="1" applyBorder="1" applyAlignment="1">
      <alignment horizontal="right"/>
    </xf>
    <xf numFmtId="43" fontId="10" fillId="0" borderId="6" xfId="1" applyFont="1" applyFill="1" applyBorder="1" applyAlignment="1">
      <alignment horizontal="right"/>
    </xf>
    <xf numFmtId="165" fontId="10" fillId="0" borderId="9" xfId="1" applyNumberFormat="1" applyFont="1" applyFill="1" applyBorder="1" applyAlignment="1">
      <alignment horizontal="right"/>
    </xf>
    <xf numFmtId="9" fontId="10" fillId="0" borderId="9" xfId="5" applyFont="1" applyFill="1" applyBorder="1" applyAlignment="1">
      <alignment horizontal="right"/>
    </xf>
    <xf numFmtId="43" fontId="10" fillId="0" borderId="9" xfId="1" applyFont="1" applyFill="1" applyBorder="1" applyAlignment="1">
      <alignment horizontal="right"/>
    </xf>
    <xf numFmtId="39" fontId="11" fillId="0" borderId="0" xfId="0" applyNumberFormat="1" applyFont="1"/>
    <xf numFmtId="49" fontId="16" fillId="0" borderId="0" xfId="0" applyNumberFormat="1" applyFont="1" applyAlignment="1">
      <alignment horizontal="center"/>
    </xf>
    <xf numFmtId="49" fontId="16" fillId="0" borderId="1" xfId="0" applyNumberFormat="1" applyFont="1" applyBorder="1" applyAlignment="1">
      <alignment horizontal="center"/>
    </xf>
    <xf numFmtId="49" fontId="16" fillId="0" borderId="0" xfId="0" applyNumberFormat="1" applyFont="1"/>
    <xf numFmtId="0" fontId="16" fillId="0" borderId="0" xfId="0" applyFont="1"/>
    <xf numFmtId="49" fontId="18" fillId="0" borderId="0" xfId="0" applyNumberFormat="1" applyFont="1" applyAlignment="1">
      <alignment horizontal="center"/>
    </xf>
    <xf numFmtId="49" fontId="18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18" fillId="0" borderId="0" xfId="0" applyNumberFormat="1" applyFont="1"/>
    <xf numFmtId="164" fontId="19" fillId="0" borderId="0" xfId="0" applyNumberFormat="1" applyFont="1"/>
    <xf numFmtId="0" fontId="11" fillId="0" borderId="0" xfId="0" applyFont="1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right"/>
    </xf>
    <xf numFmtId="49" fontId="8" fillId="0" borderId="0" xfId="0" applyNumberFormat="1" applyFont="1" applyAlignment="1">
      <alignment horizontal="center"/>
    </xf>
    <xf numFmtId="39" fontId="8" fillId="0" borderId="0" xfId="0" applyNumberFormat="1" applyFont="1"/>
    <xf numFmtId="43" fontId="17" fillId="0" borderId="0" xfId="1" applyFont="1"/>
    <xf numFmtId="43" fontId="16" fillId="0" borderId="0" xfId="1" applyFont="1"/>
    <xf numFmtId="49" fontId="16" fillId="0" borderId="0" xfId="1" applyNumberFormat="1" applyFont="1"/>
    <xf numFmtId="165" fontId="19" fillId="0" borderId="0" xfId="1" applyNumberFormat="1" applyFont="1"/>
    <xf numFmtId="165" fontId="19" fillId="0" borderId="12" xfId="1" applyNumberFormat="1" applyFont="1" applyBorder="1"/>
    <xf numFmtId="165" fontId="19" fillId="0" borderId="13" xfId="1" applyNumberFormat="1" applyFont="1" applyBorder="1"/>
    <xf numFmtId="165" fontId="18" fillId="0" borderId="3" xfId="1" applyNumberFormat="1" applyFont="1" applyBorder="1"/>
    <xf numFmtId="167" fontId="19" fillId="0" borderId="0" xfId="0" applyNumberFormat="1" applyFont="1"/>
    <xf numFmtId="43" fontId="19" fillId="0" borderId="0" xfId="1" applyFont="1"/>
    <xf numFmtId="0" fontId="10" fillId="0" borderId="6" xfId="0" applyFont="1" applyBorder="1" applyAlignment="1">
      <alignment horizontal="left" wrapText="1"/>
    </xf>
    <xf numFmtId="165" fontId="11" fillId="0" borderId="0" xfId="0" applyNumberFormat="1" applyFont="1"/>
    <xf numFmtId="43" fontId="18" fillId="0" borderId="13" xfId="1" applyFont="1" applyBorder="1"/>
    <xf numFmtId="43" fontId="19" fillId="0" borderId="12" xfId="1" applyFont="1" applyBorder="1"/>
    <xf numFmtId="43" fontId="18" fillId="0" borderId="12" xfId="1" applyFont="1" applyBorder="1"/>
    <xf numFmtId="43" fontId="19" fillId="0" borderId="13" xfId="1" applyFont="1" applyBorder="1"/>
    <xf numFmtId="43" fontId="18" fillId="0" borderId="3" xfId="1" applyFont="1" applyBorder="1"/>
    <xf numFmtId="43" fontId="11" fillId="0" borderId="0" xfId="1" applyFont="1"/>
    <xf numFmtId="43" fontId="20" fillId="0" borderId="0" xfId="1" applyFont="1"/>
    <xf numFmtId="43" fontId="12" fillId="0" borderId="0" xfId="1" applyFont="1"/>
    <xf numFmtId="49" fontId="18" fillId="0" borderId="0" xfId="1" applyNumberFormat="1" applyFont="1"/>
    <xf numFmtId="165" fontId="18" fillId="0" borderId="13" xfId="1" applyNumberFormat="1" applyFont="1" applyBorder="1"/>
    <xf numFmtId="165" fontId="18" fillId="0" borderId="12" xfId="1" applyNumberFormat="1" applyFont="1" applyBorder="1"/>
    <xf numFmtId="167" fontId="19" fillId="0" borderId="2" xfId="0" applyNumberFormat="1" applyFont="1" applyBorder="1"/>
    <xf numFmtId="167" fontId="19" fillId="0" borderId="5" xfId="0" applyNumberFormat="1" applyFont="1" applyBorder="1"/>
    <xf numFmtId="167" fontId="18" fillId="0" borderId="3" xfId="0" applyNumberFormat="1" applyFont="1" applyBorder="1"/>
    <xf numFmtId="167" fontId="19" fillId="0" borderId="4" xfId="0" applyNumberFormat="1" applyFont="1" applyBorder="1"/>
    <xf numFmtId="167" fontId="19" fillId="0" borderId="0" xfId="1" applyNumberFormat="1" applyFont="1"/>
    <xf numFmtId="165" fontId="17" fillId="0" borderId="0" xfId="1" applyNumberFormat="1" applyFont="1"/>
    <xf numFmtId="165" fontId="16" fillId="0" borderId="3" xfId="1" applyNumberFormat="1" applyFont="1" applyBorder="1"/>
    <xf numFmtId="165" fontId="16" fillId="0" borderId="0" xfId="1" applyNumberFormat="1" applyFont="1"/>
    <xf numFmtId="43" fontId="19" fillId="0" borderId="0" xfId="1" applyFont="1" applyFill="1"/>
    <xf numFmtId="49" fontId="3" fillId="0" borderId="0" xfId="0" applyNumberFormat="1" applyFont="1"/>
    <xf numFmtId="14" fontId="3" fillId="0" borderId="0" xfId="0" applyNumberFormat="1" applyFont="1"/>
    <xf numFmtId="49" fontId="3" fillId="0" borderId="0" xfId="0" applyNumberFormat="1" applyFont="1" applyAlignment="1">
      <alignment horizontal="centerContinuous"/>
    </xf>
    <xf numFmtId="165" fontId="8" fillId="0" borderId="0" xfId="0" applyNumberFormat="1" applyFont="1"/>
    <xf numFmtId="165" fontId="8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4" fontId="2" fillId="0" borderId="0" xfId="0" applyNumberFormat="1" applyFont="1"/>
    <xf numFmtId="164" fontId="2" fillId="0" borderId="0" xfId="0" applyNumberFormat="1" applyFont="1"/>
    <xf numFmtId="164" fontId="3" fillId="0" borderId="5" xfId="0" applyNumberFormat="1" applyFont="1" applyBorder="1"/>
    <xf numFmtId="164" fontId="2" fillId="0" borderId="3" xfId="0" applyNumberFormat="1" applyFont="1" applyBorder="1"/>
    <xf numFmtId="49" fontId="21" fillId="0" borderId="0" xfId="0" applyNumberFormat="1" applyFont="1"/>
    <xf numFmtId="49" fontId="22" fillId="0" borderId="0" xfId="0" applyNumberFormat="1" applyFont="1"/>
    <xf numFmtId="49" fontId="22" fillId="0" borderId="0" xfId="0" applyNumberFormat="1" applyFont="1" applyAlignment="1">
      <alignment horizontal="centerContinuous"/>
    </xf>
    <xf numFmtId="164" fontId="3" fillId="0" borderId="2" xfId="0" applyNumberFormat="1" applyFont="1" applyBorder="1"/>
    <xf numFmtId="0" fontId="13" fillId="0" borderId="0" xfId="3" applyFont="1" applyAlignment="1" applyProtection="1">
      <alignment horizontal="center"/>
      <protection locked="0"/>
    </xf>
    <xf numFmtId="166" fontId="13" fillId="0" borderId="0" xfId="3" quotePrefix="1" applyNumberFormat="1" applyFont="1" applyAlignment="1" applyProtection="1">
      <alignment horizontal="center"/>
      <protection locked="0"/>
    </xf>
    <xf numFmtId="0" fontId="13" fillId="0" borderId="11" xfId="3" applyFont="1" applyBorder="1" applyAlignment="1" applyProtection="1">
      <alignment horizontal="center"/>
      <protection locked="0"/>
    </xf>
    <xf numFmtId="0" fontId="13" fillId="0" borderId="8" xfId="3" applyFont="1" applyBorder="1" applyAlignment="1" applyProtection="1">
      <alignment horizontal="center"/>
      <protection locked="0"/>
    </xf>
    <xf numFmtId="0" fontId="13" fillId="0" borderId="10" xfId="3" applyFont="1" applyBorder="1" applyAlignment="1" applyProtection="1">
      <alignment horizontal="center"/>
      <protection locked="0"/>
    </xf>
  </cellXfs>
  <cellStyles count="13">
    <cellStyle name="Comma" xfId="1" builtinId="3"/>
    <cellStyle name="Comma 2" xfId="9" xr:uid="{A3597CB0-8DB1-4183-B74A-16D533FEBAFF}"/>
    <cellStyle name="Comma 3" xfId="10" xr:uid="{A5B57DC4-4B93-4B22-B1D3-4BA9EB143633}"/>
    <cellStyle name="Currency" xfId="4" builtinId="4"/>
    <cellStyle name="Normal" xfId="0" builtinId="0"/>
    <cellStyle name="Normal 2" xfId="2" xr:uid="{61E23E7D-66A6-44EF-87F9-67763ED73961}"/>
    <cellStyle name="Normal 2 2" xfId="3" xr:uid="{D0A29EF5-D4BE-43FD-87CA-D5CBA7D225DF}"/>
    <cellStyle name="Normal 2 2 2" xfId="12" xr:uid="{703B4A53-9817-423E-9642-CCA86EF6103B}"/>
    <cellStyle name="Normal 3" xfId="6" xr:uid="{9678D815-911A-454D-9E41-3E935983ACFD}"/>
    <cellStyle name="Normal 3 2" xfId="8" xr:uid="{2308ED0A-25E5-4947-9393-23C1DD95B585}"/>
    <cellStyle name="Normal 4" xfId="7" xr:uid="{0278F4FB-3EFF-421F-8401-79CBF13C9F42}"/>
    <cellStyle name="Normal 5" xfId="11" xr:uid="{21FE1CF2-3FA6-4AA1-A06D-96976A101DAC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6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7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190500</xdr:colOff>
          <xdr:row>1</xdr:row>
          <xdr:rowOff>28575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190500</xdr:colOff>
          <xdr:row>1</xdr:row>
          <xdr:rowOff>28575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371475</xdr:colOff>
          <xdr:row>1</xdr:row>
          <xdr:rowOff>28575</xdr:rowOff>
        </xdr:to>
        <xdr:sp macro="" textlink="">
          <xdr:nvSpPr>
            <xdr:cNvPr id="37889" name="FILTER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3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371475</xdr:colOff>
          <xdr:row>1</xdr:row>
          <xdr:rowOff>28575</xdr:rowOff>
        </xdr:to>
        <xdr:sp macro="" textlink="">
          <xdr:nvSpPr>
            <xdr:cNvPr id="37890" name="HEADER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3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0</xdr:rowOff>
        </xdr:from>
        <xdr:to>
          <xdr:col>4</xdr:col>
          <xdr:colOff>914400</xdr:colOff>
          <xdr:row>1</xdr:row>
          <xdr:rowOff>19050</xdr:rowOff>
        </xdr:to>
        <xdr:sp macro="" textlink="">
          <xdr:nvSpPr>
            <xdr:cNvPr id="166913" name="FILTER" hidden="1">
              <a:extLst>
                <a:ext uri="{63B3BB69-23CF-44E3-9099-C40C66FF867C}">
                  <a14:compatExt spid="_x0000_s166913"/>
                </a:ext>
                <a:ext uri="{FF2B5EF4-FFF2-40B4-BE49-F238E27FC236}">
                  <a16:creationId xmlns:a16="http://schemas.microsoft.com/office/drawing/2014/main" id="{00000000-0008-0000-0400-000001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0</xdr:rowOff>
        </xdr:from>
        <xdr:to>
          <xdr:col>4</xdr:col>
          <xdr:colOff>914400</xdr:colOff>
          <xdr:row>1</xdr:row>
          <xdr:rowOff>19050</xdr:rowOff>
        </xdr:to>
        <xdr:sp macro="" textlink="">
          <xdr:nvSpPr>
            <xdr:cNvPr id="166914" name="HEADER" hidden="1">
              <a:extLst>
                <a:ext uri="{63B3BB69-23CF-44E3-9099-C40C66FF867C}">
                  <a14:compatExt spid="_x0000_s166914"/>
                </a:ext>
                <a:ext uri="{FF2B5EF4-FFF2-40B4-BE49-F238E27FC236}">
                  <a16:creationId xmlns:a16="http://schemas.microsoft.com/office/drawing/2014/main" id="{00000000-0008-0000-0400-000002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99681" name="FILTER" hidden="1">
              <a:extLst>
                <a:ext uri="{63B3BB69-23CF-44E3-9099-C40C66FF867C}">
                  <a14:compatExt spid="_x0000_s199681"/>
                </a:ext>
                <a:ext uri="{FF2B5EF4-FFF2-40B4-BE49-F238E27FC236}">
                  <a16:creationId xmlns:a16="http://schemas.microsoft.com/office/drawing/2014/main" id="{00000000-0008-0000-0500-0000010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99682" name="HEADER" hidden="1">
              <a:extLst>
                <a:ext uri="{63B3BB69-23CF-44E3-9099-C40C66FF867C}">
                  <a14:compatExt spid="_x0000_s199682"/>
                </a:ext>
                <a:ext uri="{FF2B5EF4-FFF2-40B4-BE49-F238E27FC236}">
                  <a16:creationId xmlns:a16="http://schemas.microsoft.com/office/drawing/2014/main" id="{00000000-0008-0000-0500-0000020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1</xdr:row>
          <xdr:rowOff>19050</xdr:rowOff>
        </xdr:to>
        <xdr:sp macro="" textlink="">
          <xdr:nvSpPr>
            <xdr:cNvPr id="90113" name="FILTER" hidden="1">
              <a:extLst>
                <a:ext uri="{63B3BB69-23CF-44E3-9099-C40C66FF867C}">
                  <a14:compatExt spid="_x0000_s90113"/>
                </a:ext>
                <a:ext uri="{FF2B5EF4-FFF2-40B4-BE49-F238E27FC236}">
                  <a16:creationId xmlns:a16="http://schemas.microsoft.com/office/drawing/2014/main" id="{00000000-0008-0000-0600-000001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1</xdr:row>
          <xdr:rowOff>19050</xdr:rowOff>
        </xdr:to>
        <xdr:sp macro="" textlink="">
          <xdr:nvSpPr>
            <xdr:cNvPr id="90114" name="HEADER" hidden="1">
              <a:extLst>
                <a:ext uri="{63B3BB69-23CF-44E3-9099-C40C66FF867C}">
                  <a14:compatExt spid="_x0000_s90114"/>
                </a:ext>
                <a:ext uri="{FF2B5EF4-FFF2-40B4-BE49-F238E27FC236}">
                  <a16:creationId xmlns:a16="http://schemas.microsoft.com/office/drawing/2014/main" id="{00000000-0008-0000-0600-000002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200705" name="FILTER" hidden="1">
              <a:extLst>
                <a:ext uri="{63B3BB69-23CF-44E3-9099-C40C66FF867C}">
                  <a14:compatExt spid="_x0000_s200705"/>
                </a:ext>
                <a:ext uri="{FF2B5EF4-FFF2-40B4-BE49-F238E27FC236}">
                  <a16:creationId xmlns:a16="http://schemas.microsoft.com/office/drawing/2014/main" id="{00000000-0008-0000-0700-000001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200706" name="HEADER" hidden="1">
              <a:extLst>
                <a:ext uri="{63B3BB69-23CF-44E3-9099-C40C66FF867C}">
                  <a14:compatExt spid="_x0000_s200706"/>
                </a:ext>
                <a:ext uri="{FF2B5EF4-FFF2-40B4-BE49-F238E27FC236}">
                  <a16:creationId xmlns:a16="http://schemas.microsoft.com/office/drawing/2014/main" id="{00000000-0008-0000-0700-000002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3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3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8.xml"/><Relationship Id="rId5" Type="http://schemas.openxmlformats.org/officeDocument/2006/relationships/image" Target="../media/image6.emf"/><Relationship Id="rId4" Type="http://schemas.openxmlformats.org/officeDocument/2006/relationships/control" Target="../activeX/activeX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7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0.xml"/><Relationship Id="rId5" Type="http://schemas.openxmlformats.org/officeDocument/2006/relationships/image" Target="../media/image3.emf"/><Relationship Id="rId4" Type="http://schemas.openxmlformats.org/officeDocument/2006/relationships/control" Target="../activeX/activeX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3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12.xml"/><Relationship Id="rId5" Type="http://schemas.openxmlformats.org/officeDocument/2006/relationships/image" Target="../media/image8.emf"/><Relationship Id="rId4" Type="http://schemas.openxmlformats.org/officeDocument/2006/relationships/control" Target="../activeX/activeX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F243C-0DD1-4C8A-8A58-C033D5C27CE3}">
  <sheetPr codeName="Sheet6">
    <pageSetUpPr fitToPage="1"/>
  </sheetPr>
  <dimension ref="A1:O42"/>
  <sheetViews>
    <sheetView showGridLines="0" zoomScale="80" zoomScaleNormal="80" workbookViewId="0">
      <selection activeCell="B55" sqref="B55"/>
    </sheetView>
  </sheetViews>
  <sheetFormatPr defaultColWidth="9.140625" defaultRowHeight="15.75" x14ac:dyDescent="0.25"/>
  <cols>
    <col min="1" max="1" width="2.28515625" style="9" customWidth="1"/>
    <col min="2" max="2" width="47.28515625" style="9" customWidth="1"/>
    <col min="3" max="3" width="23.140625" style="9" bestFit="1" customWidth="1"/>
    <col min="4" max="4" width="2.28515625" style="9" customWidth="1"/>
    <col min="5" max="5" width="14.5703125" style="9" bestFit="1" customWidth="1"/>
    <col min="6" max="6" width="2.28515625" style="9" customWidth="1"/>
    <col min="7" max="7" width="15" style="9" bestFit="1" customWidth="1"/>
    <col min="8" max="8" width="1.7109375" style="9" customWidth="1"/>
    <col min="9" max="9" width="13.5703125" style="9" bestFit="1" customWidth="1"/>
    <col min="10" max="10" width="1.7109375" style="9" customWidth="1"/>
    <col min="11" max="11" width="15.5703125" style="9" bestFit="1" customWidth="1"/>
    <col min="12" max="12" width="2.28515625" style="9" customWidth="1"/>
    <col min="13" max="13" width="20.7109375" style="9" bestFit="1" customWidth="1"/>
    <col min="14" max="14" width="2.42578125" style="9" customWidth="1"/>
    <col min="15" max="15" width="76.5703125" style="9" customWidth="1"/>
    <col min="16" max="16384" width="9.140625" style="9"/>
  </cols>
  <sheetData>
    <row r="1" spans="1:15" x14ac:dyDescent="0.25">
      <c r="A1" s="118" t="s">
        <v>130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x14ac:dyDescent="0.25">
      <c r="A2" s="118" t="s">
        <v>131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5" x14ac:dyDescent="0.25">
      <c r="A3" s="118" t="s">
        <v>132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 x14ac:dyDescent="0.25">
      <c r="A4" s="119">
        <v>44986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</row>
    <row r="7" spans="1:15" ht="31.5" x14ac:dyDescent="0.25">
      <c r="C7" s="14" t="s">
        <v>133</v>
      </c>
      <c r="E7" s="15" t="s">
        <v>134</v>
      </c>
      <c r="F7" s="16"/>
      <c r="G7" s="15" t="s">
        <v>135</v>
      </c>
      <c r="H7" s="16"/>
      <c r="I7" s="15" t="s">
        <v>136</v>
      </c>
      <c r="J7" s="16"/>
      <c r="K7" s="15" t="s">
        <v>137</v>
      </c>
      <c r="L7" s="16"/>
      <c r="M7" s="15" t="s">
        <v>138</v>
      </c>
      <c r="O7" s="80" t="s">
        <v>259</v>
      </c>
    </row>
    <row r="8" spans="1:15" ht="15.75" customHeight="1" x14ac:dyDescent="0.25">
      <c r="A8" s="11" t="s">
        <v>94</v>
      </c>
      <c r="B8" s="12"/>
      <c r="C8" s="12"/>
      <c r="D8" s="12"/>
      <c r="G8" s="11"/>
      <c r="H8" s="11"/>
      <c r="I8" s="11"/>
      <c r="J8" s="11"/>
      <c r="K8" s="11"/>
      <c r="L8" s="11"/>
      <c r="M8" s="11"/>
    </row>
    <row r="9" spans="1:15" ht="15.75" customHeight="1" x14ac:dyDescent="0.25">
      <c r="A9" s="17"/>
      <c r="B9" s="12"/>
      <c r="C9" s="12"/>
      <c r="D9" s="12"/>
      <c r="G9" s="11"/>
      <c r="H9" s="11"/>
      <c r="I9" s="11"/>
      <c r="J9" s="11"/>
      <c r="K9" s="11"/>
      <c r="L9" s="11"/>
      <c r="M9" s="11"/>
    </row>
    <row r="10" spans="1:15" ht="15.75" customHeight="1" x14ac:dyDescent="0.25">
      <c r="B10" s="9" t="s">
        <v>139</v>
      </c>
      <c r="C10" s="18">
        <v>1110</v>
      </c>
      <c r="E10" s="6">
        <f>SUMIF('Balance Sheet Mar 2023'!$L$5:$L$33,'Balance Sheet'!C10,'Balance Sheet Mar 2023'!$F$5:$F$33)</f>
        <v>71797.259999999995</v>
      </c>
      <c r="F10" s="6"/>
      <c r="G10" s="6">
        <v>0</v>
      </c>
      <c r="H10" s="6"/>
      <c r="I10" s="6">
        <v>0</v>
      </c>
      <c r="J10" s="6"/>
      <c r="K10" s="6">
        <v>0</v>
      </c>
      <c r="L10" s="6"/>
      <c r="M10" s="6">
        <f t="shared" ref="M10:M16" si="0">SUM(E10:K10)</f>
        <v>71797.259999999995</v>
      </c>
    </row>
    <row r="11" spans="1:15" ht="15.75" customHeight="1" x14ac:dyDescent="0.25">
      <c r="B11" s="9" t="s">
        <v>140</v>
      </c>
      <c r="C11" s="18">
        <v>1160</v>
      </c>
      <c r="E11" s="6">
        <f>SUMIF('Balance Sheet Mar 2023'!$L$5:$L$33,'Balance Sheet'!C11,'Balance Sheet Mar 2023'!$F$5:$F$33)</f>
        <v>0</v>
      </c>
      <c r="F11" s="6"/>
      <c r="G11" s="6"/>
      <c r="H11" s="6"/>
      <c r="I11" s="6"/>
      <c r="J11" s="6"/>
      <c r="K11" s="6"/>
      <c r="L11" s="6"/>
      <c r="M11" s="6">
        <f t="shared" si="0"/>
        <v>0</v>
      </c>
    </row>
    <row r="12" spans="1:15" ht="15.75" customHeight="1" x14ac:dyDescent="0.25">
      <c r="B12" s="9" t="s">
        <v>141</v>
      </c>
      <c r="C12" s="18">
        <v>1130</v>
      </c>
      <c r="E12" s="6">
        <f>SUMIF('Balance Sheet Mar 2023'!$L$5:$L$33,'Balance Sheet'!C12,'Balance Sheet Mar 2023'!$F$5:$F$33)</f>
        <v>0</v>
      </c>
      <c r="F12" s="6"/>
      <c r="G12" s="6">
        <v>0</v>
      </c>
      <c r="H12" s="6"/>
      <c r="I12" s="6"/>
      <c r="J12" s="6"/>
      <c r="K12" s="6"/>
      <c r="L12" s="6"/>
      <c r="M12" s="6">
        <f t="shared" si="0"/>
        <v>0</v>
      </c>
    </row>
    <row r="13" spans="1:15" ht="30" customHeight="1" x14ac:dyDescent="0.25">
      <c r="B13" s="9" t="s">
        <v>142</v>
      </c>
      <c r="C13" s="18" t="s">
        <v>143</v>
      </c>
      <c r="E13" s="6">
        <f>SUMIF('Balance Sheet Mar 2023'!$L$5:$L$33,'Balance Sheet'!C13,'Balance Sheet Mar 2023'!$F$5:$F$33)</f>
        <v>72222</v>
      </c>
      <c r="F13" s="6"/>
      <c r="G13" s="6"/>
      <c r="H13" s="6"/>
      <c r="I13" s="6"/>
      <c r="J13" s="6"/>
      <c r="K13" s="6"/>
      <c r="L13" s="6"/>
      <c r="M13" s="6">
        <f t="shared" si="0"/>
        <v>72222</v>
      </c>
      <c r="O13" s="30" t="s">
        <v>257</v>
      </c>
    </row>
    <row r="14" spans="1:15" ht="15.75" customHeight="1" x14ac:dyDescent="0.25">
      <c r="B14" s="9" t="s">
        <v>144</v>
      </c>
      <c r="C14" s="18">
        <v>1210</v>
      </c>
      <c r="E14" s="6">
        <f>SUMIF('Balance Sheet Mar 2023'!$L$5:$L$33,'Balance Sheet'!C14,'Balance Sheet Mar 2023'!$F$5:$F$33)</f>
        <v>0</v>
      </c>
      <c r="F14" s="6"/>
      <c r="G14" s="6"/>
      <c r="H14" s="6"/>
      <c r="I14" s="6"/>
      <c r="J14" s="6"/>
      <c r="K14" s="6"/>
      <c r="L14" s="6"/>
      <c r="M14" s="6">
        <f t="shared" si="0"/>
        <v>0</v>
      </c>
    </row>
    <row r="15" spans="1:15" ht="15.75" customHeight="1" x14ac:dyDescent="0.25">
      <c r="B15" s="9" t="s">
        <v>145</v>
      </c>
      <c r="C15" s="18">
        <v>1140</v>
      </c>
      <c r="E15" s="6">
        <f>SUMIF('Balance Sheet Mar 2023'!$L$5:$L$33,'Balance Sheet'!C15,'Balance Sheet Mar 2023'!$F$5:$F$33)</f>
        <v>0</v>
      </c>
      <c r="F15" s="6"/>
      <c r="G15" s="6"/>
      <c r="H15" s="6"/>
      <c r="I15" s="6"/>
      <c r="J15" s="6"/>
      <c r="K15" s="6"/>
      <c r="L15" s="6"/>
      <c r="M15" s="6">
        <f t="shared" si="0"/>
        <v>0</v>
      </c>
    </row>
    <row r="16" spans="1:15" ht="15.75" customHeight="1" x14ac:dyDescent="0.25">
      <c r="B16" s="9" t="s">
        <v>146</v>
      </c>
      <c r="C16" s="18">
        <v>1400</v>
      </c>
      <c r="E16" s="6">
        <f>SUMIF('Balance Sheet Mar 2023'!$L$5:$L$33,'Balance Sheet'!C16,'Balance Sheet Mar 2023'!$F$5:$F$33)</f>
        <v>0</v>
      </c>
      <c r="F16" s="6"/>
      <c r="G16" s="6"/>
      <c r="H16" s="6"/>
      <c r="I16" s="6"/>
      <c r="J16" s="6"/>
      <c r="K16" s="6"/>
      <c r="L16" s="6"/>
      <c r="M16" s="6">
        <f t="shared" si="0"/>
        <v>0</v>
      </c>
    </row>
    <row r="17" spans="1:15" ht="15.75" customHeight="1" x14ac:dyDescent="0.25">
      <c r="C17" s="18"/>
      <c r="E17" s="6"/>
      <c r="F17" s="6"/>
      <c r="G17" s="6"/>
      <c r="H17" s="6"/>
      <c r="I17" s="6"/>
      <c r="J17" s="6"/>
      <c r="K17" s="6"/>
      <c r="L17" s="6"/>
      <c r="M17" s="6"/>
    </row>
    <row r="18" spans="1:15" ht="15.75" customHeight="1" thickBot="1" x14ac:dyDescent="0.3">
      <c r="A18" s="11" t="s">
        <v>147</v>
      </c>
      <c r="B18" s="11"/>
      <c r="C18" s="12"/>
      <c r="D18" s="11"/>
      <c r="E18" s="19">
        <f>SUM(E10:E16)</f>
        <v>144019.26</v>
      </c>
      <c r="F18" s="20"/>
      <c r="G18" s="19">
        <f>SUM(G10:G15)</f>
        <v>0</v>
      </c>
      <c r="H18" s="20"/>
      <c r="I18" s="19">
        <f>SUM(I10:I14)</f>
        <v>0</v>
      </c>
      <c r="J18" s="20"/>
      <c r="K18" s="19">
        <f>SUM(K10:K14)</f>
        <v>0</v>
      </c>
      <c r="L18" s="20"/>
      <c r="M18" s="19">
        <f>SUM(M10:M14)</f>
        <v>144019.26</v>
      </c>
    </row>
    <row r="19" spans="1:15" ht="15.75" customHeight="1" thickTop="1" x14ac:dyDescent="0.25">
      <c r="A19" s="11"/>
      <c r="B19" s="11"/>
      <c r="C19" s="12"/>
      <c r="D19" s="11"/>
      <c r="E19" s="6"/>
      <c r="F19" s="6"/>
      <c r="G19" s="6"/>
      <c r="H19" s="6"/>
      <c r="I19" s="6"/>
      <c r="J19" s="6"/>
      <c r="K19" s="6"/>
      <c r="L19" s="6"/>
      <c r="M19" s="6"/>
    </row>
    <row r="20" spans="1:15" ht="15.75" customHeight="1" x14ac:dyDescent="0.25">
      <c r="A20" s="11" t="s">
        <v>148</v>
      </c>
      <c r="B20" s="12"/>
      <c r="C20" s="12"/>
      <c r="D20" s="12"/>
      <c r="E20" s="6"/>
      <c r="F20" s="6"/>
      <c r="G20" s="6"/>
      <c r="H20" s="6"/>
      <c r="I20" s="6"/>
      <c r="J20" s="6"/>
      <c r="K20" s="6"/>
      <c r="L20" s="6"/>
      <c r="M20" s="6"/>
    </row>
    <row r="21" spans="1:15" ht="15.75" customHeight="1" x14ac:dyDescent="0.25">
      <c r="A21" s="17"/>
      <c r="B21" s="12"/>
      <c r="C21" s="12"/>
      <c r="D21" s="12"/>
      <c r="E21" s="6"/>
      <c r="F21" s="6"/>
      <c r="G21" s="6"/>
      <c r="H21" s="6"/>
      <c r="I21" s="6"/>
      <c r="J21" s="6"/>
      <c r="K21" s="6"/>
      <c r="L21" s="6"/>
      <c r="M21" s="6"/>
    </row>
    <row r="22" spans="1:15" ht="15.75" customHeight="1" x14ac:dyDescent="0.25">
      <c r="A22" s="9" t="s">
        <v>103</v>
      </c>
      <c r="B22" s="12"/>
      <c r="C22" s="12"/>
      <c r="D22" s="12"/>
      <c r="E22" s="6"/>
      <c r="F22" s="6"/>
      <c r="G22" s="6"/>
      <c r="H22" s="6"/>
      <c r="I22" s="6"/>
      <c r="J22" s="6"/>
      <c r="K22" s="6"/>
      <c r="L22" s="6"/>
      <c r="M22" s="6"/>
    </row>
    <row r="23" spans="1:15" ht="37.5" customHeight="1" x14ac:dyDescent="0.25">
      <c r="B23" s="9" t="s">
        <v>149</v>
      </c>
      <c r="C23" s="18">
        <v>2120</v>
      </c>
      <c r="E23" s="6">
        <f>SUMIF('Balance Sheet Mar 2023'!$L$5:$L$33,'Balance Sheet'!C23,'Balance Sheet Mar 2023'!$F$5:$F$33)</f>
        <v>51441.84</v>
      </c>
      <c r="F23" s="6"/>
      <c r="G23" s="6">
        <v>0</v>
      </c>
      <c r="H23" s="6"/>
      <c r="I23" s="6">
        <v>0</v>
      </c>
      <c r="J23" s="6"/>
      <c r="K23" s="6">
        <v>0</v>
      </c>
      <c r="L23" s="6"/>
      <c r="M23" s="6">
        <f>E23+G23+I23+K23</f>
        <v>51441.84</v>
      </c>
      <c r="O23" s="30" t="s">
        <v>258</v>
      </c>
    </row>
    <row r="24" spans="1:15" ht="15.75" customHeight="1" x14ac:dyDescent="0.25">
      <c r="B24" s="9" t="s">
        <v>150</v>
      </c>
      <c r="C24" s="18" t="s">
        <v>151</v>
      </c>
      <c r="E24" s="6">
        <f>SUMIF('Balance Sheet Mar 2023'!$L$5:$L$33,'Balance Sheet'!C24,'Balance Sheet Mar 2023'!$F$5:$F$33)</f>
        <v>68736.009999999995</v>
      </c>
      <c r="F24" s="21"/>
      <c r="G24" s="21">
        <v>0</v>
      </c>
      <c r="H24" s="21"/>
      <c r="I24" s="21"/>
      <c r="J24" s="21"/>
      <c r="K24" s="21"/>
      <c r="L24" s="21"/>
      <c r="M24" s="6">
        <f t="shared" ref="M24:M29" si="1">SUM(E24:K24)</f>
        <v>68736.009999999995</v>
      </c>
      <c r="O24" s="9" t="s">
        <v>260</v>
      </c>
    </row>
    <row r="25" spans="1:15" ht="15.75" customHeight="1" x14ac:dyDescent="0.25">
      <c r="B25" s="9" t="s">
        <v>152</v>
      </c>
      <c r="C25" s="18">
        <v>2410</v>
      </c>
      <c r="E25" s="6">
        <f>SUMIF('Balance Sheet Mar 2023'!$L$5:$L$33,'Balance Sheet'!C25,'Balance Sheet Mar 2023'!$F$4:$F$33)</f>
        <v>0</v>
      </c>
      <c r="F25" s="6"/>
      <c r="G25" s="6"/>
      <c r="H25" s="6"/>
      <c r="I25" s="6"/>
      <c r="J25" s="6"/>
      <c r="K25" s="6"/>
      <c r="L25" s="6"/>
      <c r="M25" s="6">
        <f t="shared" si="1"/>
        <v>0</v>
      </c>
    </row>
    <row r="26" spans="1:15" ht="15.75" customHeight="1" x14ac:dyDescent="0.25">
      <c r="B26" s="9" t="s">
        <v>153</v>
      </c>
      <c r="C26" s="18" t="s">
        <v>154</v>
      </c>
      <c r="E26" s="6">
        <f>SUMIF('Balance Sheet Mar 2023'!$L$5:$L$33,'Balance Sheet'!C26,'Balance Sheet Mar 2023'!$F$4:$F$33)</f>
        <v>0</v>
      </c>
      <c r="F26" s="6"/>
      <c r="G26" s="6"/>
      <c r="H26" s="6"/>
      <c r="I26" s="6"/>
      <c r="J26" s="6"/>
      <c r="K26" s="6"/>
      <c r="L26" s="6"/>
      <c r="M26" s="6">
        <f t="shared" si="1"/>
        <v>0</v>
      </c>
    </row>
    <row r="27" spans="1:15" ht="15.75" customHeight="1" x14ac:dyDescent="0.25">
      <c r="B27" s="9" t="s">
        <v>155</v>
      </c>
      <c r="C27" s="18">
        <v>2315</v>
      </c>
      <c r="E27" s="6">
        <f>SUMIF('Balance Sheet Mar 2023'!$L$5:$L$33,'Balance Sheet'!C27,'Balance Sheet Mar 2023'!$F$4:$F$33)</f>
        <v>0</v>
      </c>
      <c r="F27" s="6"/>
      <c r="G27" s="6"/>
      <c r="H27" s="6"/>
      <c r="I27" s="6"/>
      <c r="J27" s="6"/>
      <c r="K27" s="6"/>
      <c r="L27" s="6"/>
      <c r="M27" s="6">
        <f t="shared" si="1"/>
        <v>0</v>
      </c>
    </row>
    <row r="28" spans="1:15" ht="15.75" customHeight="1" x14ac:dyDescent="0.25">
      <c r="B28" s="9" t="s">
        <v>156</v>
      </c>
      <c r="C28" s="18" t="s">
        <v>157</v>
      </c>
      <c r="E28" s="6">
        <f>SUMIF('Balance Sheet Mar 2023'!$L$5:$L$33,'Balance Sheet'!C28,'Balance Sheet Mar 2023'!$F$4:$F$33)</f>
        <v>0</v>
      </c>
      <c r="F28" s="6"/>
      <c r="G28" s="6">
        <f>+G12</f>
        <v>0</v>
      </c>
      <c r="H28" s="6"/>
      <c r="I28" s="6"/>
      <c r="J28" s="6"/>
      <c r="K28" s="6"/>
      <c r="L28" s="6"/>
      <c r="M28" s="6">
        <f t="shared" si="1"/>
        <v>0</v>
      </c>
    </row>
    <row r="29" spans="1:15" ht="15.75" customHeight="1" x14ac:dyDescent="0.25">
      <c r="C29" s="18"/>
      <c r="E29" s="6"/>
      <c r="F29" s="6"/>
      <c r="G29" s="6"/>
      <c r="H29" s="6"/>
      <c r="I29" s="6"/>
      <c r="J29" s="6"/>
      <c r="K29" s="6"/>
      <c r="L29" s="6"/>
      <c r="M29" s="6">
        <f t="shared" si="1"/>
        <v>0</v>
      </c>
    </row>
    <row r="30" spans="1:15" ht="15.75" customHeight="1" x14ac:dyDescent="0.25">
      <c r="B30" s="11" t="s">
        <v>110</v>
      </c>
      <c r="C30" s="12"/>
      <c r="D30" s="11"/>
      <c r="E30" s="22">
        <f>SUM(E23:E28)</f>
        <v>120177.84999999999</v>
      </c>
      <c r="F30" s="20"/>
      <c r="G30" s="22">
        <f>SUM(G23:G28)</f>
        <v>0</v>
      </c>
      <c r="H30" s="20"/>
      <c r="I30" s="22">
        <f>SUM(I23:I28)</f>
        <v>0</v>
      </c>
      <c r="J30" s="20"/>
      <c r="K30" s="22">
        <f>SUM(K23:K28)</f>
        <v>0</v>
      </c>
      <c r="L30" s="20"/>
      <c r="M30" s="22">
        <f>SUM(M23:M28)</f>
        <v>120177.84999999999</v>
      </c>
    </row>
    <row r="31" spans="1:15" ht="15.75" customHeight="1" x14ac:dyDescent="0.25">
      <c r="C31" s="18"/>
      <c r="E31" s="6"/>
      <c r="F31" s="6"/>
      <c r="G31" s="6"/>
      <c r="H31" s="6"/>
      <c r="I31" s="6"/>
      <c r="J31" s="6"/>
      <c r="K31" s="6"/>
      <c r="L31" s="6"/>
      <c r="M31" s="6"/>
    </row>
    <row r="32" spans="1:15" ht="15.75" customHeight="1" x14ac:dyDescent="0.25">
      <c r="A32" s="9" t="s">
        <v>158</v>
      </c>
      <c r="B32" s="12"/>
      <c r="C32" s="12"/>
      <c r="D32" s="12"/>
      <c r="E32" s="6"/>
      <c r="F32" s="6"/>
      <c r="G32" s="6"/>
      <c r="H32" s="6"/>
      <c r="I32" s="6"/>
      <c r="J32" s="6"/>
      <c r="K32" s="6"/>
      <c r="L32" s="6"/>
      <c r="M32" s="6"/>
    </row>
    <row r="33" spans="1:14" ht="15.75" customHeight="1" x14ac:dyDescent="0.25">
      <c r="B33" s="9" t="s">
        <v>159</v>
      </c>
      <c r="C33" s="18">
        <v>2710</v>
      </c>
      <c r="E33" s="6">
        <v>0</v>
      </c>
      <c r="F33" s="6"/>
      <c r="G33" s="6">
        <v>0</v>
      </c>
      <c r="H33" s="6"/>
      <c r="I33" s="6">
        <v>0</v>
      </c>
      <c r="J33" s="6"/>
      <c r="K33" s="6">
        <v>0</v>
      </c>
      <c r="L33" s="6"/>
      <c r="M33" s="6">
        <f>E33+G33+I33+K33</f>
        <v>0</v>
      </c>
    </row>
    <row r="34" spans="1:14" ht="15.75" customHeight="1" x14ac:dyDescent="0.25">
      <c r="B34" s="9" t="s">
        <v>160</v>
      </c>
      <c r="C34" s="18">
        <v>2720</v>
      </c>
      <c r="E34" s="6">
        <v>0</v>
      </c>
      <c r="F34" s="6"/>
      <c r="G34" s="6"/>
      <c r="H34" s="6"/>
      <c r="I34" s="6"/>
      <c r="J34" s="6"/>
      <c r="K34" s="6"/>
      <c r="L34" s="6"/>
      <c r="M34" s="6">
        <f>E34+G34+I34+K34</f>
        <v>0</v>
      </c>
    </row>
    <row r="35" spans="1:14" ht="15.75" customHeight="1" x14ac:dyDescent="0.25">
      <c r="B35" s="9" t="s">
        <v>161</v>
      </c>
      <c r="C35" s="18">
        <v>2730</v>
      </c>
      <c r="E35" s="6">
        <v>0</v>
      </c>
      <c r="F35" s="6"/>
      <c r="G35" s="6"/>
      <c r="H35" s="6"/>
      <c r="I35" s="6"/>
      <c r="J35" s="6"/>
      <c r="K35" s="6"/>
      <c r="L35" s="6"/>
      <c r="M35" s="6">
        <f>E35+G35+I35+K35</f>
        <v>0</v>
      </c>
    </row>
    <row r="36" spans="1:14" ht="15.75" customHeight="1" x14ac:dyDescent="0.25">
      <c r="B36" s="9" t="s">
        <v>162</v>
      </c>
      <c r="C36" s="18">
        <v>2740</v>
      </c>
      <c r="E36" s="6">
        <v>0</v>
      </c>
      <c r="F36" s="6"/>
      <c r="G36" s="6"/>
      <c r="H36" s="6"/>
      <c r="I36" s="6"/>
      <c r="J36" s="6"/>
      <c r="K36" s="6"/>
      <c r="L36" s="6"/>
      <c r="M36" s="6">
        <f>E36+G36+I36+K36</f>
        <v>0</v>
      </c>
    </row>
    <row r="37" spans="1:14" ht="15.75" customHeight="1" x14ac:dyDescent="0.25">
      <c r="B37" s="9" t="s">
        <v>163</v>
      </c>
      <c r="C37" s="18">
        <v>2750</v>
      </c>
      <c r="E37" s="6">
        <f>'Balance Sheet Mar 2023'!F33</f>
        <v>23841.42</v>
      </c>
      <c r="F37" s="6"/>
      <c r="G37" s="6"/>
      <c r="H37" s="6"/>
      <c r="I37" s="6"/>
      <c r="J37" s="6"/>
      <c r="K37" s="6"/>
      <c r="L37" s="6"/>
      <c r="M37" s="6">
        <f>E37+G37+I37+K37</f>
        <v>23841.42</v>
      </c>
    </row>
    <row r="38" spans="1:14" ht="15.75" customHeight="1" x14ac:dyDescent="0.25">
      <c r="E38" s="6"/>
      <c r="F38" s="6"/>
      <c r="G38" s="6"/>
      <c r="H38" s="6"/>
      <c r="I38" s="6"/>
      <c r="J38" s="6"/>
      <c r="K38" s="6"/>
      <c r="L38" s="6"/>
      <c r="M38" s="6"/>
    </row>
    <row r="39" spans="1:14" ht="15.75" customHeight="1" x14ac:dyDescent="0.25">
      <c r="B39" s="11" t="s">
        <v>164</v>
      </c>
      <c r="C39" s="11"/>
      <c r="D39" s="11"/>
      <c r="E39" s="22">
        <f>SUM(E33:E38)</f>
        <v>23841.42</v>
      </c>
      <c r="F39" s="20"/>
      <c r="G39" s="22">
        <f>SUM(G33:G37)</f>
        <v>0</v>
      </c>
      <c r="H39" s="20"/>
      <c r="I39" s="22">
        <f>SUM(I33:I37)</f>
        <v>0</v>
      </c>
      <c r="J39" s="20"/>
      <c r="K39" s="22">
        <f>SUM(K33:K37)</f>
        <v>0</v>
      </c>
      <c r="L39" s="20"/>
      <c r="M39" s="22">
        <f>M18-M30</f>
        <v>23841.410000000018</v>
      </c>
      <c r="N39" s="24"/>
    </row>
    <row r="40" spans="1:14" ht="15.75" customHeight="1" thickBot="1" x14ac:dyDescent="0.3">
      <c r="A40" s="11" t="s">
        <v>165</v>
      </c>
      <c r="B40" s="11"/>
      <c r="C40" s="11"/>
      <c r="D40" s="11"/>
      <c r="E40" s="19">
        <f>E39+E30</f>
        <v>144019.26999999999</v>
      </c>
      <c r="F40" s="20"/>
      <c r="G40" s="19">
        <f>G39+G30</f>
        <v>0</v>
      </c>
      <c r="H40" s="20"/>
      <c r="I40" s="19">
        <f>I39+I30</f>
        <v>0</v>
      </c>
      <c r="J40" s="20"/>
      <c r="K40" s="19">
        <f>K39+K30</f>
        <v>0</v>
      </c>
      <c r="L40" s="20"/>
      <c r="M40" s="19">
        <f>M39+M30</f>
        <v>144019.26</v>
      </c>
    </row>
    <row r="41" spans="1:14" ht="15.75" customHeight="1" thickTop="1" x14ac:dyDescent="0.25"/>
    <row r="42" spans="1:14" ht="15.75" customHeight="1" x14ac:dyDescent="0.25">
      <c r="E42" s="24">
        <f>E40-E18</f>
        <v>9.9999999802093953E-3</v>
      </c>
    </row>
  </sheetData>
  <mergeCells count="4">
    <mergeCell ref="A1:O1"/>
    <mergeCell ref="A2:O2"/>
    <mergeCell ref="A3:O3"/>
    <mergeCell ref="A4:O4"/>
  </mergeCells>
  <pageMargins left="0.25" right="0.25" top="0.75" bottom="0.75" header="0.3" footer="0.3"/>
  <pageSetup scale="75" fitToWidth="2" orientation="landscape" r:id="rId1"/>
  <headerFooter>
    <oddFooter>&amp;L&amp;"Times New Roman,Bold"&amp;12&amp;A&amp;R&amp;"Times New Roman,Bold"&amp;12&amp;P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1F65E-07FF-45DA-8138-4AC2B98363CD}">
  <sheetPr codeName="Sheet7">
    <pageSetUpPr fitToPage="1"/>
  </sheetPr>
  <dimension ref="A1:AI68"/>
  <sheetViews>
    <sheetView showGridLines="0" view="pageBreakPreview" zoomScale="60" zoomScaleNormal="70" workbookViewId="0">
      <pane xSplit="3" ySplit="4" topLeftCell="D22" activePane="bottomRight" state="frozen"/>
      <selection activeCell="C12" sqref="C12"/>
      <selection pane="topRight" activeCell="C12" sqref="C12"/>
      <selection pane="bottomLeft" activeCell="C12" sqref="C12"/>
      <selection pane="bottomRight" activeCell="H47" sqref="H47"/>
    </sheetView>
  </sheetViews>
  <sheetFormatPr defaultColWidth="8.85546875" defaultRowHeight="15" x14ac:dyDescent="0.25"/>
  <cols>
    <col min="1" max="1" width="3.7109375" style="7" customWidth="1"/>
    <col min="2" max="2" width="69.7109375" style="7" customWidth="1"/>
    <col min="3" max="3" width="11.7109375" style="7" customWidth="1"/>
    <col min="4" max="4" width="2.28515625" style="7" customWidth="1"/>
    <col min="5" max="5" width="16.7109375" style="7" customWidth="1"/>
    <col min="6" max="6" width="16.7109375" style="7" hidden="1" customWidth="1"/>
    <col min="7" max="9" width="16.7109375" style="7" customWidth="1"/>
    <col min="10" max="10" width="2.28515625" style="7" customWidth="1"/>
    <col min="11" max="14" width="16.7109375" style="7" customWidth="1"/>
    <col min="15" max="15" width="4.7109375" style="7" customWidth="1"/>
    <col min="16" max="16" width="16.7109375" style="7" customWidth="1"/>
    <col min="17" max="17" width="16.7109375" style="7" hidden="1" customWidth="1"/>
    <col min="18" max="20" width="16.7109375" style="7" customWidth="1"/>
    <col min="21" max="21" width="2.42578125" style="7" customWidth="1"/>
    <col min="22" max="25" width="16.7109375" style="7" customWidth="1"/>
    <col min="26" max="26" width="3.28515625" style="7" customWidth="1"/>
    <col min="27" max="30" width="16.7109375" style="7" customWidth="1"/>
    <col min="31" max="37" width="15.7109375" style="7" customWidth="1"/>
    <col min="38" max="16384" width="8.85546875" style="7"/>
  </cols>
  <sheetData>
    <row r="1" spans="1:30" ht="15.75" x14ac:dyDescent="0.25">
      <c r="A1" s="25"/>
      <c r="B1" s="25"/>
      <c r="C1" s="25"/>
      <c r="D1" s="25"/>
      <c r="E1" s="118" t="s">
        <v>130</v>
      </c>
      <c r="F1" s="118"/>
      <c r="G1" s="118"/>
      <c r="H1" s="118"/>
      <c r="I1" s="118"/>
      <c r="J1" s="118"/>
      <c r="K1" s="118"/>
      <c r="L1" s="118"/>
      <c r="M1" s="118"/>
      <c r="N1" s="118"/>
      <c r="O1" s="25"/>
      <c r="P1" s="25"/>
      <c r="Q1" s="25"/>
      <c r="R1" s="25"/>
      <c r="S1" s="25"/>
      <c r="T1" s="25"/>
      <c r="U1" s="25"/>
      <c r="V1" s="9"/>
      <c r="W1" s="9"/>
      <c r="X1" s="9"/>
      <c r="Y1" s="9"/>
      <c r="Z1" s="9"/>
      <c r="AA1" s="9"/>
      <c r="AB1" s="9"/>
      <c r="AC1" s="9"/>
      <c r="AD1" s="9"/>
    </row>
    <row r="2" spans="1:30" ht="15.75" x14ac:dyDescent="0.25">
      <c r="A2" s="25"/>
      <c r="B2" s="25"/>
      <c r="C2" s="25"/>
      <c r="D2" s="25"/>
      <c r="E2" s="118" t="s">
        <v>131</v>
      </c>
      <c r="F2" s="118"/>
      <c r="G2" s="118"/>
      <c r="H2" s="118"/>
      <c r="I2" s="118"/>
      <c r="J2" s="118"/>
      <c r="K2" s="118"/>
      <c r="L2" s="118"/>
      <c r="M2" s="118"/>
      <c r="N2" s="118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0" ht="15.75" x14ac:dyDescent="0.25">
      <c r="A3" s="25"/>
      <c r="B3" s="25"/>
      <c r="C3" s="25"/>
      <c r="D3" s="25"/>
      <c r="E3" s="118" t="s">
        <v>219</v>
      </c>
      <c r="F3" s="118"/>
      <c r="G3" s="118"/>
      <c r="H3" s="118"/>
      <c r="I3" s="118"/>
      <c r="J3" s="118"/>
      <c r="K3" s="118"/>
      <c r="L3" s="118"/>
      <c r="M3" s="118"/>
      <c r="N3" s="118"/>
      <c r="O3" s="25"/>
      <c r="P3" s="25"/>
      <c r="Q3" s="25"/>
      <c r="R3" s="25"/>
      <c r="S3" s="25"/>
      <c r="T3" s="25"/>
      <c r="U3" s="25"/>
      <c r="V3" s="9"/>
      <c r="W3" s="9"/>
      <c r="X3" s="9"/>
      <c r="Y3" s="9"/>
      <c r="Z3" s="9"/>
      <c r="AA3" s="9"/>
      <c r="AB3" s="9"/>
      <c r="AC3" s="9"/>
      <c r="AD3" s="9"/>
    </row>
    <row r="4" spans="1:30" ht="15.75" x14ac:dyDescent="0.25">
      <c r="A4" s="25"/>
      <c r="B4" s="25"/>
      <c r="C4" s="25"/>
      <c r="D4" s="25"/>
      <c r="E4" s="118" t="s">
        <v>282</v>
      </c>
      <c r="F4" s="118"/>
      <c r="G4" s="118"/>
      <c r="H4" s="118"/>
      <c r="I4" s="118"/>
      <c r="J4" s="118"/>
      <c r="K4" s="118"/>
      <c r="L4" s="118"/>
      <c r="M4" s="118"/>
      <c r="N4" s="118"/>
      <c r="O4" s="25"/>
      <c r="P4" s="25"/>
      <c r="Q4" s="25"/>
      <c r="R4" s="25"/>
      <c r="S4" s="25"/>
      <c r="T4" s="25"/>
      <c r="U4" s="25"/>
      <c r="V4" s="9"/>
      <c r="W4" s="9"/>
      <c r="X4" s="9"/>
      <c r="Y4" s="9"/>
      <c r="Z4" s="9"/>
      <c r="AA4" s="9"/>
      <c r="AB4" s="9"/>
      <c r="AC4" s="9"/>
      <c r="AD4" s="9"/>
    </row>
    <row r="5" spans="1:30" ht="15.75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1:30" ht="15.75" x14ac:dyDescent="0.25">
      <c r="A6" s="9"/>
      <c r="B6" s="13" t="s">
        <v>218</v>
      </c>
      <c r="C6" s="26">
        <v>142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5.75" x14ac:dyDescent="0.25">
      <c r="A7" s="9"/>
      <c r="B7" s="13" t="s">
        <v>217</v>
      </c>
      <c r="C7" s="27">
        <v>132</v>
      </c>
      <c r="D7" s="9"/>
      <c r="E7" s="28">
        <f>C7/C6</f>
        <v>0.92957746478873238</v>
      </c>
      <c r="F7" s="28"/>
      <c r="G7" s="11" t="s">
        <v>216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 ht="15.75" x14ac:dyDescent="0.25">
      <c r="A8" s="9"/>
      <c r="B8" s="13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 ht="15.75" x14ac:dyDescent="0.25">
      <c r="A9" s="9"/>
      <c r="B9" s="13"/>
      <c r="C9" s="13"/>
      <c r="D9" s="13"/>
      <c r="E9" s="120" t="s">
        <v>134</v>
      </c>
      <c r="F9" s="121"/>
      <c r="G9" s="121"/>
      <c r="H9" s="121"/>
      <c r="I9" s="122"/>
      <c r="J9" s="11"/>
      <c r="K9" s="120" t="s">
        <v>215</v>
      </c>
      <c r="L9" s="121"/>
      <c r="M9" s="121"/>
      <c r="N9" s="122"/>
      <c r="O9" s="11"/>
      <c r="P9" s="120" t="s">
        <v>136</v>
      </c>
      <c r="Q9" s="121"/>
      <c r="R9" s="121"/>
      <c r="S9" s="121"/>
      <c r="T9" s="122"/>
      <c r="U9" s="11"/>
      <c r="V9" s="120" t="s">
        <v>137</v>
      </c>
      <c r="W9" s="121"/>
      <c r="X9" s="121"/>
      <c r="Y9" s="122"/>
      <c r="Z9" s="9"/>
      <c r="AA9" s="120" t="s">
        <v>138</v>
      </c>
      <c r="AB9" s="121"/>
      <c r="AC9" s="121"/>
      <c r="AD9" s="122"/>
    </row>
    <row r="10" spans="1:30" ht="47.25" x14ac:dyDescent="0.25">
      <c r="A10" s="29"/>
      <c r="B10" s="30"/>
      <c r="C10" s="31" t="s">
        <v>214</v>
      </c>
      <c r="D10" s="30"/>
      <c r="E10" s="32" t="s">
        <v>283</v>
      </c>
      <c r="F10" s="32"/>
      <c r="G10" s="32" t="s">
        <v>212</v>
      </c>
      <c r="H10" s="32" t="s">
        <v>211</v>
      </c>
      <c r="I10" s="32" t="s">
        <v>210</v>
      </c>
      <c r="J10" s="33"/>
      <c r="K10" s="32" t="str">
        <f>E10</f>
        <v>March Actual</v>
      </c>
      <c r="L10" s="32" t="s">
        <v>212</v>
      </c>
      <c r="M10" s="32" t="s">
        <v>211</v>
      </c>
      <c r="N10" s="32" t="s">
        <v>210</v>
      </c>
      <c r="O10" s="33"/>
      <c r="P10" s="32" t="str">
        <f>E10</f>
        <v>March Actual</v>
      </c>
      <c r="Q10" s="34" t="s">
        <v>213</v>
      </c>
      <c r="R10" s="32" t="s">
        <v>212</v>
      </c>
      <c r="S10" s="32" t="s">
        <v>211</v>
      </c>
      <c r="T10" s="32" t="s">
        <v>210</v>
      </c>
      <c r="U10" s="33"/>
      <c r="V10" s="32" t="str">
        <f>P10</f>
        <v>March Actual</v>
      </c>
      <c r="W10" s="32" t="s">
        <v>212</v>
      </c>
      <c r="X10" s="32" t="s">
        <v>211</v>
      </c>
      <c r="Y10" s="32" t="s">
        <v>210</v>
      </c>
      <c r="Z10" s="30"/>
      <c r="AA10" s="32" t="str">
        <f>V10</f>
        <v>March Actual</v>
      </c>
      <c r="AB10" s="32" t="s">
        <v>212</v>
      </c>
      <c r="AC10" s="32" t="s">
        <v>211</v>
      </c>
      <c r="AD10" s="32" t="s">
        <v>210</v>
      </c>
    </row>
    <row r="11" spans="1:30" ht="15.75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5"/>
      <c r="L11" s="35"/>
      <c r="M11" s="35"/>
      <c r="N11" s="9"/>
      <c r="O11" s="9"/>
      <c r="P11" s="35"/>
      <c r="Q11" s="35"/>
      <c r="R11" s="35"/>
      <c r="S11" s="35"/>
      <c r="T11" s="9"/>
      <c r="U11" s="9"/>
      <c r="V11" s="35"/>
      <c r="W11" s="35"/>
      <c r="X11" s="35"/>
      <c r="Y11" s="9"/>
      <c r="Z11" s="9"/>
      <c r="AA11" s="35"/>
      <c r="AB11" s="35"/>
      <c r="AC11" s="35"/>
      <c r="AD11" s="9"/>
    </row>
    <row r="12" spans="1:30" ht="15.75" x14ac:dyDescent="0.25">
      <c r="A12" s="11" t="s">
        <v>209</v>
      </c>
      <c r="B12" s="9"/>
      <c r="C12" s="9"/>
      <c r="D12" s="9"/>
      <c r="E12" s="36"/>
      <c r="F12" s="36"/>
      <c r="G12" s="36"/>
      <c r="H12" s="36"/>
      <c r="I12" s="36"/>
      <c r="J12" s="9"/>
      <c r="K12" s="35"/>
      <c r="L12" s="35"/>
      <c r="M12" s="35"/>
      <c r="N12" s="9"/>
      <c r="O12" s="9"/>
      <c r="P12" s="35"/>
      <c r="Q12" s="35"/>
      <c r="R12" s="35"/>
      <c r="S12" s="35"/>
      <c r="T12" s="9"/>
      <c r="U12" s="9"/>
      <c r="V12" s="35"/>
      <c r="W12" s="35"/>
      <c r="X12" s="35"/>
      <c r="Y12" s="9"/>
      <c r="Z12" s="9"/>
      <c r="AA12" s="35"/>
      <c r="AB12" s="35"/>
      <c r="AC12" s="35"/>
      <c r="AD12" s="9"/>
    </row>
    <row r="13" spans="1:30" ht="15.75" x14ac:dyDescent="0.25">
      <c r="A13" s="37" t="s">
        <v>208</v>
      </c>
      <c r="C13" s="13"/>
      <c r="D13" s="9"/>
      <c r="E13" s="36"/>
      <c r="F13" s="36"/>
      <c r="G13" s="36"/>
      <c r="H13" s="36"/>
      <c r="I13" s="36"/>
      <c r="J13" s="9"/>
      <c r="K13" s="35"/>
      <c r="L13" s="35"/>
      <c r="M13" s="35"/>
      <c r="N13" s="9"/>
      <c r="O13" s="9"/>
      <c r="P13" s="35"/>
      <c r="Q13" s="35"/>
      <c r="R13" s="35"/>
      <c r="S13" s="35"/>
      <c r="T13" s="9"/>
      <c r="U13" s="9"/>
      <c r="V13" s="35"/>
      <c r="W13" s="35"/>
      <c r="X13" s="35"/>
      <c r="Y13" s="9"/>
      <c r="Z13" s="9"/>
      <c r="AA13" s="36"/>
      <c r="AB13" s="36"/>
      <c r="AC13" s="36"/>
      <c r="AD13" s="9"/>
    </row>
    <row r="14" spans="1:30" ht="15.75" x14ac:dyDescent="0.25">
      <c r="A14" s="11"/>
      <c r="B14" s="37" t="s">
        <v>207</v>
      </c>
      <c r="C14" s="38">
        <v>3100</v>
      </c>
      <c r="D14" s="9"/>
      <c r="E14" s="36">
        <f>SUMIF('P&amp;L Mar 2023'!$AB$5:$AB$201,'Stmt of Rev, Exp, and Fund Bal'!C14,'P&amp;L Mar 2023'!$T$5:$T$201)</f>
        <v>0</v>
      </c>
      <c r="F14" s="21">
        <v>0</v>
      </c>
      <c r="G14" s="36">
        <f>SUMIF('P&amp;L Mar 2023'!$AB$5:$AB$62,'Stmt of Rev, Exp, and Fund Bal'!C14,'P&amp;L Mar 2023'!$X$5:$X$71)</f>
        <v>0</v>
      </c>
      <c r="H14" s="36">
        <v>0</v>
      </c>
      <c r="I14" s="28" t="str">
        <f t="shared" ref="I14:I61" si="0">IF(OR(H14=0,H14=""),"",G14/H14)</f>
        <v/>
      </c>
      <c r="J14" s="39"/>
      <c r="K14" s="21">
        <v>0</v>
      </c>
      <c r="L14" s="21">
        <v>0</v>
      </c>
      <c r="M14" s="21">
        <v>0</v>
      </c>
      <c r="N14" s="28" t="str">
        <f t="shared" ref="N14:N61" si="1">IF(OR(M14=0,M14=""),"",L14/M14)</f>
        <v/>
      </c>
      <c r="O14" s="39"/>
      <c r="P14" s="21">
        <v>0</v>
      </c>
      <c r="Q14" s="21"/>
      <c r="R14" s="21">
        <v>0</v>
      </c>
      <c r="S14" s="21">
        <v>0</v>
      </c>
      <c r="T14" s="28" t="str">
        <f t="shared" ref="T14:T61" si="2">IF(OR(S14=0,S14=""),"",R14/S14)</f>
        <v/>
      </c>
      <c r="U14" s="39"/>
      <c r="V14" s="40">
        <v>0</v>
      </c>
      <c r="W14" s="40">
        <v>0</v>
      </c>
      <c r="X14" s="40">
        <v>0</v>
      </c>
      <c r="Y14" s="28" t="str">
        <f t="shared" ref="Y14:Y61" si="3">IF(OR(X14=0,X14=""),"",W14/X14)</f>
        <v/>
      </c>
      <c r="Z14" s="39"/>
      <c r="AA14" s="21">
        <f>E14+K14+P14+V14</f>
        <v>0</v>
      </c>
      <c r="AB14" s="21">
        <f t="shared" ref="AB14:AC16" si="4">G14+L14+R14+W14</f>
        <v>0</v>
      </c>
      <c r="AC14" s="21">
        <f t="shared" si="4"/>
        <v>0</v>
      </c>
      <c r="AD14" s="28" t="str">
        <f t="shared" ref="AD14:AD61" si="5">IF(OR(AC14=0,AC14=""),"",AB14/AC14)</f>
        <v/>
      </c>
    </row>
    <row r="15" spans="1:30" ht="15.75" x14ac:dyDescent="0.25">
      <c r="A15" s="11"/>
      <c r="B15" s="37" t="s">
        <v>206</v>
      </c>
      <c r="C15" s="41">
        <v>3200</v>
      </c>
      <c r="D15" s="9"/>
      <c r="E15" s="36">
        <f>SUMIF('P&amp;L Mar 2023'!$AB$5:$AB$201,'Stmt of Rev, Exp, and Fund Bal'!C15,'P&amp;L Mar 2023'!$T$5:$T$201)</f>
        <v>0</v>
      </c>
      <c r="F15" s="6"/>
      <c r="G15" s="36">
        <f>SUMIF('P&amp;L Mar 2023'!$AB$5:$AB$62,'Stmt of Rev, Exp, and Fund Bal'!C15,'P&amp;L Mar 2023'!$X$5:$X$71)</f>
        <v>0</v>
      </c>
      <c r="H15" s="36">
        <v>0</v>
      </c>
      <c r="I15" s="28" t="str">
        <f t="shared" si="0"/>
        <v/>
      </c>
      <c r="J15" s="42"/>
      <c r="K15" s="6">
        <v>0</v>
      </c>
      <c r="L15" s="6">
        <v>0</v>
      </c>
      <c r="M15" s="21">
        <v>0</v>
      </c>
      <c r="N15" s="28" t="str">
        <f t="shared" si="1"/>
        <v/>
      </c>
      <c r="O15" s="42"/>
      <c r="P15" s="21">
        <v>0</v>
      </c>
      <c r="Q15" s="6"/>
      <c r="R15" s="21">
        <v>0</v>
      </c>
      <c r="S15" s="21">
        <v>0</v>
      </c>
      <c r="T15" s="28" t="str">
        <f t="shared" si="2"/>
        <v/>
      </c>
      <c r="U15" s="42"/>
      <c r="V15" s="43">
        <v>0</v>
      </c>
      <c r="W15" s="43">
        <v>0</v>
      </c>
      <c r="X15" s="43">
        <v>0</v>
      </c>
      <c r="Y15" s="28" t="str">
        <f t="shared" si="3"/>
        <v/>
      </c>
      <c r="Z15" s="42"/>
      <c r="AA15" s="6">
        <f>E15+K15+P15+V15</f>
        <v>0</v>
      </c>
      <c r="AB15" s="6">
        <f t="shared" si="4"/>
        <v>0</v>
      </c>
      <c r="AC15" s="6">
        <f t="shared" si="4"/>
        <v>0</v>
      </c>
      <c r="AD15" s="28" t="str">
        <f t="shared" si="5"/>
        <v/>
      </c>
    </row>
    <row r="16" spans="1:30" ht="15.75" x14ac:dyDescent="0.25">
      <c r="A16" s="37" t="s">
        <v>205</v>
      </c>
      <c r="C16" s="38"/>
      <c r="D16" s="9"/>
      <c r="E16" s="36">
        <f>SUMIF('P&amp;L Mar 2023'!$AB$5:$AB$201,'Stmt of Rev, Exp, and Fund Bal'!C16,'P&amp;L Mar 2023'!$T$5:$T$201)</f>
        <v>0</v>
      </c>
      <c r="F16" s="6"/>
      <c r="G16" s="36">
        <f>SUMIF('P&amp;L Mar 2023'!$AB$5:$AB$62,'Stmt of Rev, Exp, and Fund Bal'!C16,'P&amp;L Mar 2023'!$X$5:$X$71)</f>
        <v>0</v>
      </c>
      <c r="H16" s="36">
        <v>0</v>
      </c>
      <c r="I16" s="28" t="str">
        <f t="shared" si="0"/>
        <v/>
      </c>
      <c r="J16" s="42"/>
      <c r="K16" s="6">
        <v>0</v>
      </c>
      <c r="L16" s="6">
        <v>0</v>
      </c>
      <c r="M16" s="6">
        <v>0</v>
      </c>
      <c r="N16" s="28" t="str">
        <f t="shared" si="1"/>
        <v/>
      </c>
      <c r="O16" s="42"/>
      <c r="P16" s="21">
        <v>0</v>
      </c>
      <c r="Q16" s="6"/>
      <c r="R16" s="21">
        <v>0</v>
      </c>
      <c r="S16" s="21">
        <v>0</v>
      </c>
      <c r="T16" s="28" t="str">
        <f t="shared" si="2"/>
        <v/>
      </c>
      <c r="U16" s="42"/>
      <c r="V16" s="43">
        <v>0</v>
      </c>
      <c r="W16" s="43">
        <v>0</v>
      </c>
      <c r="X16" s="43">
        <v>0</v>
      </c>
      <c r="Y16" s="28" t="str">
        <f t="shared" si="3"/>
        <v/>
      </c>
      <c r="Z16" s="42"/>
      <c r="AA16" s="6">
        <f>E16+K16+P16+V16</f>
        <v>0</v>
      </c>
      <c r="AB16" s="6">
        <f t="shared" si="4"/>
        <v>0</v>
      </c>
      <c r="AC16" s="6">
        <f t="shared" si="4"/>
        <v>0</v>
      </c>
      <c r="AD16" s="28" t="str">
        <f t="shared" si="5"/>
        <v/>
      </c>
    </row>
    <row r="17" spans="1:35" ht="15.75" x14ac:dyDescent="0.25">
      <c r="A17" s="11"/>
      <c r="B17" s="37" t="s">
        <v>204</v>
      </c>
      <c r="C17" s="38">
        <v>3310</v>
      </c>
      <c r="D17" s="9"/>
      <c r="E17" s="36">
        <f>SUMIF('P&amp;L Mar 2023'!$AB$5:$AB$201,'Stmt of Rev, Exp, and Fund Bal'!C17,'P&amp;L Mar 2023'!$T$5:$T$201)</f>
        <v>84256</v>
      </c>
      <c r="F17" s="6">
        <v>0</v>
      </c>
      <c r="G17" s="36">
        <f>SUMIF('P&amp;L Mar 2023'!$AB$5:$AB$62,'Stmt of Rev, Exp, and Fund Bal'!C17,'P&amp;L Mar 2023'!$X$5:$X$71)</f>
        <v>689479</v>
      </c>
      <c r="H17" s="6">
        <v>925585.35714285704</v>
      </c>
      <c r="I17" s="28">
        <f t="shared" si="0"/>
        <v>0.74491130902104818</v>
      </c>
      <c r="J17" s="42"/>
      <c r="K17" s="6">
        <v>0</v>
      </c>
      <c r="L17" s="6">
        <v>0</v>
      </c>
      <c r="M17" s="6">
        <v>0</v>
      </c>
      <c r="N17" s="28" t="str">
        <f t="shared" si="1"/>
        <v/>
      </c>
      <c r="O17" s="42"/>
      <c r="P17" s="21">
        <v>0</v>
      </c>
      <c r="Q17" s="6"/>
      <c r="R17" s="21">
        <v>0</v>
      </c>
      <c r="S17" s="21">
        <v>0</v>
      </c>
      <c r="T17" s="28" t="str">
        <f t="shared" si="2"/>
        <v/>
      </c>
      <c r="U17" s="42"/>
      <c r="V17" s="43">
        <v>0</v>
      </c>
      <c r="W17" s="43">
        <v>0</v>
      </c>
      <c r="X17" s="43">
        <v>0</v>
      </c>
      <c r="Y17" s="28" t="str">
        <f t="shared" si="3"/>
        <v/>
      </c>
      <c r="Z17" s="42"/>
      <c r="AA17" s="6">
        <f t="shared" ref="AA17:AA26" si="6">E17+K17+P17+V17</f>
        <v>84256</v>
      </c>
      <c r="AB17" s="6">
        <f t="shared" ref="AB17:AC22" si="7">G17+L17+R17+W17</f>
        <v>689479</v>
      </c>
      <c r="AC17" s="6">
        <f t="shared" si="7"/>
        <v>925585.35714285704</v>
      </c>
      <c r="AD17" s="28">
        <f t="shared" si="5"/>
        <v>0.74491130902104818</v>
      </c>
    </row>
    <row r="18" spans="1:35" ht="15.75" x14ac:dyDescent="0.25">
      <c r="A18" s="11"/>
      <c r="B18" s="37" t="s">
        <v>203</v>
      </c>
      <c r="C18" s="38">
        <v>3397</v>
      </c>
      <c r="D18" s="9"/>
      <c r="E18" s="36">
        <f>SUMIF('P&amp;L Mar 2023'!$AB$5:$AB$201,'Stmt of Rev, Exp, and Fund Bal'!C18,'P&amp;L Mar 2023'!$T$5:$T$201)</f>
        <v>0</v>
      </c>
      <c r="F18" s="6"/>
      <c r="G18" s="36">
        <f>SUMIF('P&amp;L Mar 2023'!$AB$5:$AB$62,'Stmt of Rev, Exp, and Fund Bal'!C18,'P&amp;L Mar 2023'!$X$5:$X$71)</f>
        <v>0</v>
      </c>
      <c r="H18" s="6">
        <v>0</v>
      </c>
      <c r="I18" s="28" t="str">
        <f t="shared" si="0"/>
        <v/>
      </c>
      <c r="J18" s="42"/>
      <c r="K18" s="6">
        <v>0</v>
      </c>
      <c r="L18" s="6">
        <v>0</v>
      </c>
      <c r="M18" s="6">
        <v>0</v>
      </c>
      <c r="N18" s="28" t="str">
        <f t="shared" si="1"/>
        <v/>
      </c>
      <c r="O18" s="42"/>
      <c r="P18" s="21">
        <v>0</v>
      </c>
      <c r="Q18" s="6"/>
      <c r="R18" s="21">
        <v>0</v>
      </c>
      <c r="S18" s="21">
        <v>0</v>
      </c>
      <c r="T18" s="28" t="str">
        <f t="shared" si="2"/>
        <v/>
      </c>
      <c r="U18" s="42"/>
      <c r="V18" s="43">
        <v>0</v>
      </c>
      <c r="W18" s="43">
        <v>0</v>
      </c>
      <c r="X18" s="43">
        <v>0</v>
      </c>
      <c r="Y18" s="28" t="str">
        <f t="shared" si="3"/>
        <v/>
      </c>
      <c r="Z18" s="42"/>
      <c r="AA18" s="6">
        <f t="shared" si="6"/>
        <v>0</v>
      </c>
      <c r="AB18" s="6">
        <f t="shared" si="7"/>
        <v>0</v>
      </c>
      <c r="AC18" s="6">
        <f t="shared" si="7"/>
        <v>0</v>
      </c>
      <c r="AD18" s="28" t="str">
        <f t="shared" si="5"/>
        <v/>
      </c>
    </row>
    <row r="19" spans="1:35" ht="15.75" x14ac:dyDescent="0.25">
      <c r="A19" s="11"/>
      <c r="B19" s="37" t="s">
        <v>202</v>
      </c>
      <c r="C19" s="38">
        <v>3355</v>
      </c>
      <c r="D19" s="9"/>
      <c r="E19" s="36">
        <f>SUMIF('P&amp;L Mar 2023'!$AB$5:$AB$201,'Stmt of Rev, Exp, and Fund Bal'!C19,'P&amp;L Mar 2023'!$T$5:$T$201)</f>
        <v>12736</v>
      </c>
      <c r="F19" s="6">
        <v>0</v>
      </c>
      <c r="G19" s="36">
        <f>SUMIF('P&amp;L Mar 2023'!$AB$5:$AB$62,'Stmt of Rev, Exp, and Fund Bal'!C19,'P&amp;L Mar 2023'!$X$5:$X$71)</f>
        <v>108522</v>
      </c>
      <c r="H19" s="6">
        <v>145750</v>
      </c>
      <c r="I19" s="28">
        <f t="shared" si="0"/>
        <v>0.74457632933104634</v>
      </c>
      <c r="J19" s="42"/>
      <c r="K19" s="6">
        <v>0</v>
      </c>
      <c r="L19" s="6">
        <v>0</v>
      </c>
      <c r="M19" s="6">
        <v>0</v>
      </c>
      <c r="N19" s="28" t="str">
        <f t="shared" si="1"/>
        <v/>
      </c>
      <c r="O19" s="42"/>
      <c r="P19" s="21">
        <v>0</v>
      </c>
      <c r="Q19" s="6"/>
      <c r="R19" s="21">
        <v>0</v>
      </c>
      <c r="S19" s="21">
        <v>0</v>
      </c>
      <c r="T19" s="28" t="str">
        <f t="shared" si="2"/>
        <v/>
      </c>
      <c r="U19" s="42"/>
      <c r="V19" s="43">
        <v>0</v>
      </c>
      <c r="W19" s="43">
        <v>0</v>
      </c>
      <c r="X19" s="43">
        <v>0</v>
      </c>
      <c r="Y19" s="28" t="str">
        <f t="shared" si="3"/>
        <v/>
      </c>
      <c r="Z19" s="42"/>
      <c r="AA19" s="6">
        <f t="shared" si="6"/>
        <v>12736</v>
      </c>
      <c r="AB19" s="6">
        <f t="shared" si="7"/>
        <v>108522</v>
      </c>
      <c r="AC19" s="6">
        <f t="shared" si="7"/>
        <v>145750</v>
      </c>
      <c r="AD19" s="28">
        <f t="shared" si="5"/>
        <v>0.74457632933104634</v>
      </c>
    </row>
    <row r="20" spans="1:35" ht="15.75" x14ac:dyDescent="0.25">
      <c r="A20" s="11"/>
      <c r="B20" s="37" t="s">
        <v>201</v>
      </c>
      <c r="C20" s="38">
        <v>3361</v>
      </c>
      <c r="D20" s="9"/>
      <c r="E20" s="36">
        <f>SUMIF('P&amp;L Mar 2023'!$AB$5:$AB$201,'Stmt of Rev, Exp, and Fund Bal'!C20,'P&amp;L Mar 2023'!$T$5:$T$201)</f>
        <v>0</v>
      </c>
      <c r="F20" s="6"/>
      <c r="G20" s="36">
        <f>SUMIF('P&amp;L Mar 2023'!$AB$5:$AB$62,'Stmt of Rev, Exp, and Fund Bal'!C20,'P&amp;L Mar 2023'!$X$5:$X$71)</f>
        <v>0</v>
      </c>
      <c r="H20" s="6">
        <v>0</v>
      </c>
      <c r="I20" s="28" t="str">
        <f t="shared" si="0"/>
        <v/>
      </c>
      <c r="J20" s="42"/>
      <c r="K20" s="6">
        <v>0</v>
      </c>
      <c r="L20" s="6">
        <v>0</v>
      </c>
      <c r="M20" s="6">
        <v>0</v>
      </c>
      <c r="N20" s="28" t="str">
        <f t="shared" si="1"/>
        <v/>
      </c>
      <c r="O20" s="42"/>
      <c r="P20" s="21">
        <v>0</v>
      </c>
      <c r="Q20" s="6"/>
      <c r="R20" s="21">
        <v>0</v>
      </c>
      <c r="S20" s="21">
        <v>0</v>
      </c>
      <c r="T20" s="28" t="str">
        <f t="shared" si="2"/>
        <v/>
      </c>
      <c r="U20" s="42"/>
      <c r="V20" s="43">
        <v>0</v>
      </c>
      <c r="W20" s="43">
        <v>0</v>
      </c>
      <c r="X20" s="43">
        <v>0</v>
      </c>
      <c r="Y20" s="28" t="str">
        <f t="shared" si="3"/>
        <v/>
      </c>
      <c r="Z20" s="42"/>
      <c r="AA20" s="6">
        <f t="shared" si="6"/>
        <v>0</v>
      </c>
      <c r="AB20" s="6">
        <f t="shared" si="7"/>
        <v>0</v>
      </c>
      <c r="AC20" s="6">
        <f t="shared" si="7"/>
        <v>0</v>
      </c>
      <c r="AD20" s="28" t="str">
        <f t="shared" si="5"/>
        <v/>
      </c>
    </row>
    <row r="21" spans="1:35" ht="15.75" x14ac:dyDescent="0.25">
      <c r="A21" s="11"/>
      <c r="B21" s="37" t="s">
        <v>200</v>
      </c>
      <c r="C21" s="38" t="s">
        <v>199</v>
      </c>
      <c r="D21" s="9"/>
      <c r="E21" s="36">
        <f>SUMIF('P&amp;L Mar 2023'!$AB$5:$AB$201,'Stmt of Rev, Exp, and Fund Bal'!C21,'P&amp;L Mar 2023'!$T$5:$T$201)</f>
        <v>0</v>
      </c>
      <c r="F21" s="6"/>
      <c r="G21" s="36">
        <f>SUMIF('P&amp;L Mar 2023'!$AB$5:$AB$62,'Stmt of Rev, Exp, and Fund Bal'!C21,'P&amp;L Mar 2023'!$X$5:$X$71)</f>
        <v>0</v>
      </c>
      <c r="H21" s="6">
        <v>0</v>
      </c>
      <c r="I21" s="28" t="str">
        <f t="shared" si="0"/>
        <v/>
      </c>
      <c r="J21" s="42"/>
      <c r="K21" s="6">
        <v>0</v>
      </c>
      <c r="L21" s="6">
        <v>0</v>
      </c>
      <c r="M21" s="6">
        <v>0</v>
      </c>
      <c r="N21" s="28" t="str">
        <f t="shared" si="1"/>
        <v/>
      </c>
      <c r="O21" s="42"/>
      <c r="P21" s="21">
        <v>0</v>
      </c>
      <c r="Q21" s="6"/>
      <c r="R21" s="21">
        <v>0</v>
      </c>
      <c r="S21" s="21">
        <v>0</v>
      </c>
      <c r="T21" s="28" t="str">
        <f t="shared" si="2"/>
        <v/>
      </c>
      <c r="U21" s="42"/>
      <c r="V21" s="43">
        <v>0</v>
      </c>
      <c r="W21" s="43">
        <v>0</v>
      </c>
      <c r="X21" s="43">
        <v>0</v>
      </c>
      <c r="Y21" s="28" t="str">
        <f t="shared" si="3"/>
        <v/>
      </c>
      <c r="Z21" s="42"/>
      <c r="AA21" s="6">
        <f t="shared" si="6"/>
        <v>0</v>
      </c>
      <c r="AB21" s="6">
        <f t="shared" si="7"/>
        <v>0</v>
      </c>
      <c r="AC21" s="6">
        <f t="shared" si="7"/>
        <v>0</v>
      </c>
      <c r="AD21" s="28" t="str">
        <f t="shared" si="5"/>
        <v/>
      </c>
    </row>
    <row r="22" spans="1:35" ht="15.75" x14ac:dyDescent="0.25">
      <c r="A22" s="37" t="s">
        <v>198</v>
      </c>
      <c r="C22" s="38"/>
      <c r="D22" s="9"/>
      <c r="E22" s="36">
        <f>SUMIF('P&amp;L Mar 2023'!$AB$5:$AB$201,'Stmt of Rev, Exp, and Fund Bal'!C22,'P&amp;L Mar 2023'!$T$5:$T$201)</f>
        <v>0</v>
      </c>
      <c r="F22" s="6"/>
      <c r="G22" s="36">
        <f>SUMIF('P&amp;L Mar 2023'!$AB$5:$AB$62,'Stmt of Rev, Exp, and Fund Bal'!C22,'P&amp;L Mar 2023'!$X$5:$X$71)</f>
        <v>0</v>
      </c>
      <c r="H22" s="6">
        <v>0</v>
      </c>
      <c r="I22" s="28" t="str">
        <f t="shared" si="0"/>
        <v/>
      </c>
      <c r="J22" s="42"/>
      <c r="K22" s="6">
        <v>0</v>
      </c>
      <c r="L22" s="6">
        <v>0</v>
      </c>
      <c r="M22" s="6">
        <v>0</v>
      </c>
      <c r="N22" s="28" t="str">
        <f t="shared" si="1"/>
        <v/>
      </c>
      <c r="O22" s="42"/>
      <c r="P22" s="21">
        <v>0</v>
      </c>
      <c r="Q22" s="6"/>
      <c r="R22" s="21">
        <v>0</v>
      </c>
      <c r="S22" s="21">
        <v>0</v>
      </c>
      <c r="T22" s="28" t="str">
        <f t="shared" si="2"/>
        <v/>
      </c>
      <c r="U22" s="42"/>
      <c r="V22" s="43">
        <v>0</v>
      </c>
      <c r="W22" s="43">
        <v>0</v>
      </c>
      <c r="X22" s="43">
        <v>0</v>
      </c>
      <c r="Y22" s="28" t="str">
        <f t="shared" si="3"/>
        <v/>
      </c>
      <c r="Z22" s="42"/>
      <c r="AA22" s="6">
        <f t="shared" si="6"/>
        <v>0</v>
      </c>
      <c r="AB22" s="6">
        <f t="shared" si="7"/>
        <v>0</v>
      </c>
      <c r="AC22" s="6">
        <f t="shared" si="7"/>
        <v>0</v>
      </c>
      <c r="AD22" s="28" t="str">
        <f t="shared" si="5"/>
        <v/>
      </c>
    </row>
    <row r="23" spans="1:35" ht="15.75" x14ac:dyDescent="0.25">
      <c r="A23" s="9"/>
      <c r="B23" s="37" t="s">
        <v>197</v>
      </c>
      <c r="C23" s="38">
        <v>3430</v>
      </c>
      <c r="D23" s="9"/>
      <c r="E23" s="36">
        <f>SUMIF('P&amp;L Mar 2023'!$AB$5:$AB$201,'Stmt of Rev, Exp, and Fund Bal'!C23,'P&amp;L Mar 2023'!$T$5:$T$201)</f>
        <v>0</v>
      </c>
      <c r="F23" s="6"/>
      <c r="G23" s="36">
        <f>SUMIF('P&amp;L Mar 2023'!$AB$5:$AB$62,'Stmt of Rev, Exp, and Fund Bal'!C23,'P&amp;L Mar 2023'!$X$5:$X$71)</f>
        <v>0</v>
      </c>
      <c r="H23" s="6">
        <v>0</v>
      </c>
      <c r="I23" s="28" t="str">
        <f t="shared" si="0"/>
        <v/>
      </c>
      <c r="J23" s="40"/>
      <c r="K23" s="6">
        <v>0</v>
      </c>
      <c r="L23" s="6">
        <v>0</v>
      </c>
      <c r="M23" s="6">
        <v>0</v>
      </c>
      <c r="N23" s="28" t="str">
        <f t="shared" si="1"/>
        <v/>
      </c>
      <c r="O23" s="40"/>
      <c r="P23" s="21">
        <v>0</v>
      </c>
      <c r="Q23" s="6"/>
      <c r="R23" s="21">
        <v>0</v>
      </c>
      <c r="S23" s="21">
        <v>0</v>
      </c>
      <c r="T23" s="28" t="str">
        <f t="shared" si="2"/>
        <v/>
      </c>
      <c r="U23" s="40"/>
      <c r="V23" s="43">
        <v>0</v>
      </c>
      <c r="W23" s="43">
        <v>0</v>
      </c>
      <c r="X23" s="43">
        <v>0</v>
      </c>
      <c r="Y23" s="28" t="str">
        <f t="shared" si="3"/>
        <v/>
      </c>
      <c r="Z23" s="40"/>
      <c r="AA23" s="6">
        <f t="shared" si="6"/>
        <v>0</v>
      </c>
      <c r="AB23" s="6">
        <f t="shared" ref="AB23:AC26" si="8">G23+L23+R23+W23</f>
        <v>0</v>
      </c>
      <c r="AC23" s="6">
        <f t="shared" si="8"/>
        <v>0</v>
      </c>
      <c r="AD23" s="28" t="str">
        <f t="shared" si="5"/>
        <v/>
      </c>
    </row>
    <row r="24" spans="1:35" ht="15.75" x14ac:dyDescent="0.25">
      <c r="A24" s="9"/>
      <c r="B24" s="37" t="s">
        <v>196</v>
      </c>
      <c r="C24" s="38">
        <v>3413</v>
      </c>
      <c r="D24" s="9"/>
      <c r="E24" s="36">
        <f>SUMIF('P&amp;L Mar 2023'!$AB$5:$AB$201,'Stmt of Rev, Exp, and Fund Bal'!C24,'P&amp;L Mar 2023'!$T$5:$T$201)</f>
        <v>0</v>
      </c>
      <c r="F24" s="6"/>
      <c r="G24" s="36">
        <f>SUMIF('P&amp;L Mar 2023'!$AB$5:$AB$62,'Stmt of Rev, Exp, and Fund Bal'!C24,'P&amp;L Mar 2023'!$X$5:$X$71)</f>
        <v>0</v>
      </c>
      <c r="H24" s="21">
        <v>0</v>
      </c>
      <c r="I24" s="28" t="str">
        <f t="shared" si="0"/>
        <v/>
      </c>
      <c r="J24" s="40"/>
      <c r="K24" s="6">
        <v>0</v>
      </c>
      <c r="L24" s="6">
        <v>0</v>
      </c>
      <c r="M24" s="6">
        <v>0</v>
      </c>
      <c r="N24" s="28" t="str">
        <f t="shared" si="1"/>
        <v/>
      </c>
      <c r="O24" s="40"/>
      <c r="P24" s="21">
        <v>0</v>
      </c>
      <c r="Q24" s="6"/>
      <c r="R24" s="21">
        <v>0</v>
      </c>
      <c r="S24" s="21">
        <v>0</v>
      </c>
      <c r="T24" s="28" t="str">
        <f t="shared" si="2"/>
        <v/>
      </c>
      <c r="U24" s="40"/>
      <c r="V24" s="43">
        <v>0</v>
      </c>
      <c r="W24" s="43">
        <v>0</v>
      </c>
      <c r="X24" s="43">
        <v>0</v>
      </c>
      <c r="Y24" s="28" t="str">
        <f t="shared" si="3"/>
        <v/>
      </c>
      <c r="Z24" s="40"/>
      <c r="AA24" s="6">
        <f t="shared" si="6"/>
        <v>0</v>
      </c>
      <c r="AB24" s="6">
        <f t="shared" si="8"/>
        <v>0</v>
      </c>
      <c r="AC24" s="6">
        <f t="shared" si="8"/>
        <v>0</v>
      </c>
      <c r="AD24" s="28" t="str">
        <f t="shared" si="5"/>
        <v/>
      </c>
    </row>
    <row r="25" spans="1:35" ht="15.75" x14ac:dyDescent="0.25">
      <c r="A25" s="9"/>
      <c r="B25" s="37" t="s">
        <v>256</v>
      </c>
      <c r="C25" s="38" t="s">
        <v>195</v>
      </c>
      <c r="D25" s="9"/>
      <c r="E25" s="36">
        <f>SUMIF('P&amp;L Mar 2023'!$AB$5:$AB$201,'Stmt of Rev, Exp, and Fund Bal'!C25,'P&amp;L Mar 2023'!$T$5:$T$201)-K25</f>
        <v>0</v>
      </c>
      <c r="F25" s="6">
        <v>0</v>
      </c>
      <c r="G25" s="36">
        <v>0</v>
      </c>
      <c r="H25" s="21">
        <v>0</v>
      </c>
      <c r="I25" s="28" t="str">
        <f t="shared" si="0"/>
        <v/>
      </c>
      <c r="J25" s="40"/>
      <c r="K25" s="36">
        <f>SUMIF('P&amp;L Mar 2023'!$AB$5:$AB$71,'Stmt of Rev, Exp, and Fund Bal'!C25,'P&amp;L Mar 2023'!$T$5:$T$201)</f>
        <v>4920</v>
      </c>
      <c r="L25" s="36">
        <f>SUMIF('P&amp;L Mar 2023'!$AB$5:$AB$62,'Stmt of Rev, Exp, and Fund Bal'!C25,'P&amp;L Mar 2023'!$X$5:$X$71)</f>
        <v>42272</v>
      </c>
      <c r="M25" s="6">
        <v>49045</v>
      </c>
      <c r="N25" s="28">
        <f t="shared" si="1"/>
        <v>0.861902334590682</v>
      </c>
      <c r="O25" s="40"/>
      <c r="P25" s="6">
        <v>0</v>
      </c>
      <c r="Q25" s="6">
        <v>65275</v>
      </c>
      <c r="R25" s="6">
        <v>0</v>
      </c>
      <c r="S25" s="21">
        <v>0</v>
      </c>
      <c r="T25" s="28" t="str">
        <f t="shared" si="2"/>
        <v/>
      </c>
      <c r="U25" s="40"/>
      <c r="V25" s="43">
        <v>0</v>
      </c>
      <c r="W25" s="43">
        <v>0</v>
      </c>
      <c r="X25" s="43">
        <v>0</v>
      </c>
      <c r="Y25" s="28" t="str">
        <f t="shared" si="3"/>
        <v/>
      </c>
      <c r="Z25" s="40"/>
      <c r="AA25" s="21">
        <f t="shared" si="6"/>
        <v>4920</v>
      </c>
      <c r="AB25" s="21">
        <f t="shared" si="8"/>
        <v>42272</v>
      </c>
      <c r="AC25" s="6">
        <f t="shared" si="8"/>
        <v>49045</v>
      </c>
      <c r="AD25" s="28">
        <f t="shared" si="5"/>
        <v>0.861902334590682</v>
      </c>
    </row>
    <row r="26" spans="1:35" ht="15.75" x14ac:dyDescent="0.25">
      <c r="A26" s="9" t="s">
        <v>253</v>
      </c>
      <c r="B26" s="37"/>
      <c r="C26" s="38">
        <v>3700</v>
      </c>
      <c r="D26" s="9"/>
      <c r="E26" s="36">
        <f>SUMIF('P&amp;L Mar 2023'!$AB$5:$AB$201,'Stmt of Rev, Exp, and Fund Bal'!C26,'P&amp;L Mar 2023'!$T$5:$T$201)</f>
        <v>0</v>
      </c>
      <c r="F26" s="6"/>
      <c r="G26" s="36">
        <v>0</v>
      </c>
      <c r="H26" s="6">
        <v>0</v>
      </c>
      <c r="I26" s="28" t="str">
        <f t="shared" si="0"/>
        <v/>
      </c>
      <c r="J26" s="40"/>
      <c r="K26" s="6">
        <v>0</v>
      </c>
      <c r="L26" s="6">
        <v>0</v>
      </c>
      <c r="M26" s="6">
        <v>0</v>
      </c>
      <c r="N26" s="28" t="str">
        <f t="shared" si="1"/>
        <v/>
      </c>
      <c r="O26" s="40"/>
      <c r="P26" s="36">
        <f>SUMIF('P&amp;L Mar 2023'!$AB$5:$AB$71,'Stmt of Rev, Exp, and Fund Bal'!C26,'P&amp;L Mar 2023'!$T$5:$T$201)</f>
        <v>0</v>
      </c>
      <c r="Q26" s="6"/>
      <c r="R26" s="36">
        <f>SUMIF('P&amp;L Mar 2023'!$AB$5:$AB$71,'Stmt of Rev, Exp, and Fund Bal'!C26,'P&amp;L Mar 2023'!$X$5:$X$71)</f>
        <v>150000</v>
      </c>
      <c r="S26" s="21">
        <v>150000</v>
      </c>
      <c r="T26" s="28">
        <f t="shared" si="2"/>
        <v>1</v>
      </c>
      <c r="U26" s="40"/>
      <c r="V26" s="43">
        <v>0</v>
      </c>
      <c r="W26" s="43">
        <v>0</v>
      </c>
      <c r="X26" s="43">
        <v>0</v>
      </c>
      <c r="Y26" s="28" t="str">
        <f t="shared" si="3"/>
        <v/>
      </c>
      <c r="Z26" s="40"/>
      <c r="AA26" s="21">
        <f t="shared" si="6"/>
        <v>0</v>
      </c>
      <c r="AB26" s="21">
        <f t="shared" si="8"/>
        <v>150000</v>
      </c>
      <c r="AC26" s="6">
        <f t="shared" si="8"/>
        <v>150000</v>
      </c>
      <c r="AD26" s="28">
        <f t="shared" si="5"/>
        <v>1</v>
      </c>
    </row>
    <row r="27" spans="1:35" ht="15.75" x14ac:dyDescent="0.25">
      <c r="A27" s="9"/>
      <c r="B27" s="37"/>
      <c r="C27" s="38"/>
      <c r="D27" s="9"/>
      <c r="E27" s="36"/>
      <c r="F27" s="6"/>
      <c r="G27" s="36"/>
      <c r="H27" s="6"/>
      <c r="I27" s="28"/>
      <c r="J27" s="40"/>
      <c r="K27" s="6"/>
      <c r="L27" s="6"/>
      <c r="M27" s="6"/>
      <c r="N27" s="28"/>
      <c r="O27" s="40"/>
      <c r="P27" s="6"/>
      <c r="Q27" s="6"/>
      <c r="R27" s="6"/>
      <c r="S27" s="21"/>
      <c r="T27" s="28"/>
      <c r="U27" s="40"/>
      <c r="V27" s="43"/>
      <c r="W27" s="43"/>
      <c r="X27" s="43"/>
      <c r="Y27" s="28"/>
      <c r="Z27" s="40"/>
      <c r="AA27" s="21"/>
      <c r="AB27" s="21"/>
      <c r="AC27" s="6"/>
      <c r="AD27" s="28"/>
    </row>
    <row r="28" spans="1:35" ht="15.75" x14ac:dyDescent="0.25">
      <c r="A28" s="11" t="s">
        <v>194</v>
      </c>
      <c r="B28" s="9"/>
      <c r="C28" s="9"/>
      <c r="D28" s="9"/>
      <c r="E28" s="44">
        <f>SUM(E14:E27)</f>
        <v>96992</v>
      </c>
      <c r="F28" s="44">
        <f>SUM(F14:F27)</f>
        <v>0</v>
      </c>
      <c r="G28" s="44">
        <f>SUM(G14:G27)</f>
        <v>798001</v>
      </c>
      <c r="H28" s="44">
        <f>SUM(H14:H27)</f>
        <v>1071335.357142857</v>
      </c>
      <c r="I28" s="45">
        <f t="shared" si="0"/>
        <v>0.74486573665242217</v>
      </c>
      <c r="J28" s="46"/>
      <c r="K28" s="44">
        <f>SUM(K14:K27)</f>
        <v>4920</v>
      </c>
      <c r="L28" s="44">
        <f>SUM(L14:L27)</f>
        <v>42272</v>
      </c>
      <c r="M28" s="44">
        <f>SUM(M14:M27)</f>
        <v>49045</v>
      </c>
      <c r="N28" s="45">
        <f t="shared" si="1"/>
        <v>0.861902334590682</v>
      </c>
      <c r="O28" s="46"/>
      <c r="P28" s="44">
        <f>SUM(P14:P27)</f>
        <v>0</v>
      </c>
      <c r="Q28" s="44">
        <f>SUM(Q14:Q27)</f>
        <v>65275</v>
      </c>
      <c r="R28" s="44">
        <f>SUM(R14:R27)</f>
        <v>150000</v>
      </c>
      <c r="S28" s="44">
        <f>SUM(S14:S27)</f>
        <v>150000</v>
      </c>
      <c r="T28" s="45">
        <f t="shared" si="2"/>
        <v>1</v>
      </c>
      <c r="U28" s="46"/>
      <c r="V28" s="44">
        <f>SUM(V14:V27)</f>
        <v>0</v>
      </c>
      <c r="W28" s="44">
        <f>SUM(W14:W27)</f>
        <v>0</v>
      </c>
      <c r="X28" s="44">
        <f>SUM(X14:X27)</f>
        <v>0</v>
      </c>
      <c r="Y28" s="44" t="str">
        <f t="shared" si="3"/>
        <v/>
      </c>
      <c r="Z28" s="46"/>
      <c r="AA28" s="44">
        <f>SUM(AA14:AA27)</f>
        <v>101912</v>
      </c>
      <c r="AB28" s="44">
        <f>SUM(AB14:AB27)</f>
        <v>990273</v>
      </c>
      <c r="AC28" s="44">
        <f>SUM(AC14:AC27)</f>
        <v>1270380.357142857</v>
      </c>
      <c r="AD28" s="45">
        <f t="shared" si="5"/>
        <v>0.77950906154371657</v>
      </c>
      <c r="AH28" s="6">
        <f>'P&amp;L Mar 2023'!S16</f>
        <v>100476</v>
      </c>
      <c r="AI28" s="81">
        <f>AA28-AH28</f>
        <v>1436</v>
      </c>
    </row>
    <row r="29" spans="1:35" ht="15.75" x14ac:dyDescent="0.25">
      <c r="A29" s="9"/>
      <c r="B29" s="9"/>
      <c r="C29" s="9"/>
      <c r="D29" s="9"/>
      <c r="E29" s="48"/>
      <c r="F29" s="48"/>
      <c r="G29" s="48"/>
      <c r="H29" s="48"/>
      <c r="I29" s="28" t="str">
        <f t="shared" si="0"/>
        <v/>
      </c>
      <c r="J29" s="40"/>
      <c r="K29" s="21"/>
      <c r="L29" s="21"/>
      <c r="M29" s="21"/>
      <c r="N29" s="28" t="str">
        <f t="shared" si="1"/>
        <v/>
      </c>
      <c r="O29" s="40"/>
      <c r="P29" s="21"/>
      <c r="Q29" s="21"/>
      <c r="R29" s="21"/>
      <c r="S29" s="21"/>
      <c r="T29" s="28" t="str">
        <f t="shared" si="2"/>
        <v/>
      </c>
      <c r="U29" s="40"/>
      <c r="V29" s="40"/>
      <c r="W29" s="40"/>
      <c r="X29" s="40"/>
      <c r="Y29" s="28" t="str">
        <f t="shared" si="3"/>
        <v/>
      </c>
      <c r="Z29" s="40"/>
      <c r="AA29" s="21"/>
      <c r="AB29" s="21"/>
      <c r="AC29" s="21"/>
      <c r="AD29" s="28" t="str">
        <f t="shared" si="5"/>
        <v/>
      </c>
      <c r="AI29" s="7" t="s">
        <v>274</v>
      </c>
    </row>
    <row r="30" spans="1:35" ht="15.75" x14ac:dyDescent="0.25">
      <c r="A30" s="11" t="s">
        <v>193</v>
      </c>
      <c r="B30" s="9"/>
      <c r="C30" s="9"/>
      <c r="D30" s="9"/>
      <c r="E30" s="48"/>
      <c r="F30" s="48"/>
      <c r="G30" s="48"/>
      <c r="H30" s="48"/>
      <c r="I30" s="28" t="str">
        <f t="shared" si="0"/>
        <v/>
      </c>
      <c r="J30" s="40"/>
      <c r="K30" s="21"/>
      <c r="L30" s="21"/>
      <c r="M30" s="21"/>
      <c r="N30" s="28" t="str">
        <f t="shared" si="1"/>
        <v/>
      </c>
      <c r="O30" s="40"/>
      <c r="P30" s="21"/>
      <c r="Q30" s="21"/>
      <c r="R30" s="21"/>
      <c r="S30" s="21"/>
      <c r="T30" s="28" t="str">
        <f t="shared" si="2"/>
        <v/>
      </c>
      <c r="U30" s="40"/>
      <c r="V30" s="40"/>
      <c r="W30" s="40"/>
      <c r="X30" s="40"/>
      <c r="Y30" s="28" t="str">
        <f t="shared" si="3"/>
        <v/>
      </c>
      <c r="Z30" s="40"/>
      <c r="AA30" s="21"/>
      <c r="AB30" s="21"/>
      <c r="AC30" s="21"/>
      <c r="AD30" s="28" t="str">
        <f t="shared" si="5"/>
        <v/>
      </c>
    </row>
    <row r="31" spans="1:35" ht="15.75" x14ac:dyDescent="0.25">
      <c r="A31" s="9" t="s">
        <v>192</v>
      </c>
      <c r="B31" s="9"/>
      <c r="C31" s="9"/>
      <c r="D31" s="9"/>
      <c r="E31" s="36">
        <f>SUMIF('P&amp;L Mar 2023'!$AB$5:$AB$201,'Stmt of Rev, Exp, and Fund Bal'!C31,'P&amp;L Mar 2023'!$T$5:$T$201)</f>
        <v>0</v>
      </c>
      <c r="F31" s="21"/>
      <c r="G31" s="36">
        <f>SUMIF('P&amp;L Mar 2023'!$AB$5:$AB$77,'Stmt of Rev, Exp, and Fund Bal'!C31,'P&amp;L Mar 2023'!$X$5:$X$77)</f>
        <v>0</v>
      </c>
      <c r="H31" s="21"/>
      <c r="I31" s="28" t="str">
        <f t="shared" si="0"/>
        <v/>
      </c>
      <c r="J31" s="40"/>
      <c r="K31" s="21"/>
      <c r="L31" s="21"/>
      <c r="M31" s="21"/>
      <c r="N31" s="28" t="str">
        <f t="shared" si="1"/>
        <v/>
      </c>
      <c r="O31" s="40"/>
      <c r="P31" s="21"/>
      <c r="Q31" s="21"/>
      <c r="R31" s="21"/>
      <c r="S31" s="21"/>
      <c r="T31" s="28" t="str">
        <f t="shared" si="2"/>
        <v/>
      </c>
      <c r="U31" s="40"/>
      <c r="V31" s="40"/>
      <c r="W31" s="40"/>
      <c r="X31" s="40"/>
      <c r="Y31" s="28" t="str">
        <f t="shared" si="3"/>
        <v/>
      </c>
      <c r="Z31" s="40"/>
      <c r="AA31" s="21"/>
      <c r="AB31" s="21"/>
      <c r="AC31" s="21"/>
      <c r="AD31" s="28" t="str">
        <f t="shared" si="5"/>
        <v/>
      </c>
    </row>
    <row r="32" spans="1:35" ht="15.75" x14ac:dyDescent="0.25">
      <c r="A32" s="9"/>
      <c r="B32" s="49" t="s">
        <v>191</v>
      </c>
      <c r="C32" s="38">
        <v>5000</v>
      </c>
      <c r="D32" s="49"/>
      <c r="E32" s="36">
        <f>SUMIF('P&amp;L Mar 2023'!$AB$5:$AB$201,'Stmt of Rev, Exp, and Fund Bal'!C32,'P&amp;L Mar 2023'!$T$5:$T$201)</f>
        <v>36260.11</v>
      </c>
      <c r="F32" s="6">
        <v>68848.289999999994</v>
      </c>
      <c r="G32" s="36">
        <f>SUMIF('P&amp;L Mar 2023'!$AB$5:$AB$77,'Stmt of Rev, Exp, and Fund Bal'!C32,'P&amp;L Mar 2023'!$X$5:$X$77)</f>
        <v>386334.87</v>
      </c>
      <c r="H32" s="6">
        <v>474321.93145500007</v>
      </c>
      <c r="I32" s="28">
        <f t="shared" si="0"/>
        <v>0.81449927650383669</v>
      </c>
      <c r="J32" s="40"/>
      <c r="K32" s="6">
        <v>0</v>
      </c>
      <c r="L32" s="6">
        <v>0</v>
      </c>
      <c r="M32" s="6">
        <v>0</v>
      </c>
      <c r="N32" s="28" t="str">
        <f t="shared" si="1"/>
        <v/>
      </c>
      <c r="O32" s="40"/>
      <c r="P32" s="6">
        <v>0</v>
      </c>
      <c r="Q32" s="6"/>
      <c r="R32" s="6">
        <v>0</v>
      </c>
      <c r="S32" s="6">
        <v>0</v>
      </c>
      <c r="T32" s="28" t="str">
        <f t="shared" si="2"/>
        <v/>
      </c>
      <c r="U32" s="40"/>
      <c r="V32" s="43">
        <v>0</v>
      </c>
      <c r="W32" s="43">
        <v>0</v>
      </c>
      <c r="X32" s="43">
        <v>0</v>
      </c>
      <c r="Y32" s="28" t="str">
        <f t="shared" si="3"/>
        <v/>
      </c>
      <c r="Z32" s="40"/>
      <c r="AA32" s="6">
        <f t="shared" ref="AA32:AA38" si="9">E32+K32+P32+V32</f>
        <v>36260.11</v>
      </c>
      <c r="AB32" s="6">
        <f t="shared" ref="AB32:AB46" si="10">G32+L32+R32+W32</f>
        <v>386334.87</v>
      </c>
      <c r="AC32" s="6">
        <f t="shared" ref="AC32:AC46" si="11">H32+M32+S32+X32</f>
        <v>474321.93145500007</v>
      </c>
      <c r="AD32" s="28">
        <f t="shared" si="5"/>
        <v>0.81449927650383669</v>
      </c>
    </row>
    <row r="33" spans="1:32" ht="15.75" x14ac:dyDescent="0.25">
      <c r="A33" s="9"/>
      <c r="B33" s="49" t="s">
        <v>190</v>
      </c>
      <c r="C33" s="38">
        <v>6000</v>
      </c>
      <c r="D33" s="49"/>
      <c r="E33" s="36">
        <f>SUMIF('P&amp;L Mar 2023'!$AB$5:$AB$201,'Stmt of Rev, Exp, and Fund Bal'!C33,'P&amp;L Mar 2023'!$T$5:$T$201)</f>
        <v>0</v>
      </c>
      <c r="F33" s="6">
        <v>0</v>
      </c>
      <c r="G33" s="36">
        <f>SUMIF('P&amp;L Mar 2023'!$AB$5:$AB$77,'Stmt of Rev, Exp, and Fund Bal'!C33,'P&amp;L Mar 2023'!$X$5:$X$77)</f>
        <v>0</v>
      </c>
      <c r="H33" s="6">
        <v>0</v>
      </c>
      <c r="I33" s="28" t="str">
        <f t="shared" si="0"/>
        <v/>
      </c>
      <c r="J33" s="40"/>
      <c r="K33" s="6">
        <v>0</v>
      </c>
      <c r="L33" s="6">
        <v>0</v>
      </c>
      <c r="M33" s="6">
        <v>0</v>
      </c>
      <c r="N33" s="28" t="str">
        <f t="shared" si="1"/>
        <v/>
      </c>
      <c r="O33" s="40"/>
      <c r="P33" s="6">
        <v>0</v>
      </c>
      <c r="Q33" s="6"/>
      <c r="R33" s="6">
        <v>0</v>
      </c>
      <c r="S33" s="6">
        <v>0</v>
      </c>
      <c r="T33" s="28" t="str">
        <f t="shared" si="2"/>
        <v/>
      </c>
      <c r="U33" s="40"/>
      <c r="V33" s="43">
        <v>0</v>
      </c>
      <c r="W33" s="43">
        <v>0</v>
      </c>
      <c r="X33" s="43">
        <v>0</v>
      </c>
      <c r="Y33" s="28" t="str">
        <f t="shared" si="3"/>
        <v/>
      </c>
      <c r="Z33" s="40"/>
      <c r="AA33" s="6">
        <f t="shared" si="9"/>
        <v>0</v>
      </c>
      <c r="AB33" s="6">
        <f t="shared" si="10"/>
        <v>0</v>
      </c>
      <c r="AC33" s="6">
        <f t="shared" si="11"/>
        <v>0</v>
      </c>
      <c r="AD33" s="28" t="str">
        <f t="shared" si="5"/>
        <v/>
      </c>
    </row>
    <row r="34" spans="1:32" ht="15.75" x14ac:dyDescent="0.25">
      <c r="A34" s="9"/>
      <c r="B34" s="49" t="s">
        <v>189</v>
      </c>
      <c r="C34" s="38">
        <v>7100</v>
      </c>
      <c r="D34" s="49"/>
      <c r="E34" s="36">
        <f>SUMIF('P&amp;L Mar 2023'!$AB$5:$AB$201,'Stmt of Rev, Exp, and Fund Bal'!C34,'P&amp;L Mar 2023'!$T$5:$T$201)</f>
        <v>750</v>
      </c>
      <c r="F34" s="6">
        <v>2655.83</v>
      </c>
      <c r="G34" s="36">
        <f>SUMIF('P&amp;L Mar 2023'!$AB$5:$AB$77,'Stmt of Rev, Exp, and Fund Bal'!C34,'P&amp;L Mar 2023'!$X$5:$X$77)</f>
        <v>32940.21</v>
      </c>
      <c r="H34" s="6">
        <v>35190.21</v>
      </c>
      <c r="I34" s="28">
        <f t="shared" si="0"/>
        <v>0.93606176263227758</v>
      </c>
      <c r="J34" s="40"/>
      <c r="K34" s="6">
        <v>0</v>
      </c>
      <c r="L34" s="6">
        <v>0</v>
      </c>
      <c r="M34" s="6">
        <v>0</v>
      </c>
      <c r="N34" s="28" t="str">
        <f t="shared" si="1"/>
        <v/>
      </c>
      <c r="O34" s="40"/>
      <c r="P34" s="6">
        <v>0</v>
      </c>
      <c r="Q34" s="6"/>
      <c r="R34" s="6">
        <v>0</v>
      </c>
      <c r="S34" s="6">
        <v>0</v>
      </c>
      <c r="T34" s="28" t="str">
        <f t="shared" si="2"/>
        <v/>
      </c>
      <c r="U34" s="40"/>
      <c r="V34" s="43">
        <v>0</v>
      </c>
      <c r="W34" s="43">
        <v>0</v>
      </c>
      <c r="X34" s="43">
        <v>0</v>
      </c>
      <c r="Y34" s="28" t="str">
        <f t="shared" si="3"/>
        <v/>
      </c>
      <c r="Z34" s="40"/>
      <c r="AA34" s="6">
        <f t="shared" si="9"/>
        <v>750</v>
      </c>
      <c r="AB34" s="6">
        <f t="shared" si="10"/>
        <v>32940.21</v>
      </c>
      <c r="AC34" s="6">
        <f t="shared" si="11"/>
        <v>35190.21</v>
      </c>
      <c r="AD34" s="28">
        <f t="shared" si="5"/>
        <v>0.93606176263227758</v>
      </c>
    </row>
    <row r="35" spans="1:32" ht="15.75" x14ac:dyDescent="0.25">
      <c r="A35" s="9"/>
      <c r="B35" s="49" t="s">
        <v>220</v>
      </c>
      <c r="C35" s="38">
        <v>7200</v>
      </c>
      <c r="D35" s="49"/>
      <c r="E35" s="36">
        <f>SUMIF('P&amp;L Mar 2023'!$AB$5:$AB$201,'Stmt of Rev, Exp, and Fund Bal'!C35,'P&amp;L Mar 2023'!$T$5:$T$201)</f>
        <v>14396.96</v>
      </c>
      <c r="F35" s="6">
        <v>14129.31</v>
      </c>
      <c r="G35" s="36">
        <f>SUMIF('P&amp;L Mar 2023'!$AB$5:$AB$77,'Stmt of Rev, Exp, and Fund Bal'!C35,'P&amp;L Mar 2023'!$X$5:$X$77)</f>
        <v>98174.720000000001</v>
      </c>
      <c r="H35" s="6">
        <v>136962.12285714285</v>
      </c>
      <c r="I35" s="28">
        <f t="shared" si="0"/>
        <v>0.71680197380118216</v>
      </c>
      <c r="J35" s="40"/>
      <c r="K35" s="6">
        <v>0</v>
      </c>
      <c r="L35" s="6">
        <v>0</v>
      </c>
      <c r="M35" s="6">
        <v>0</v>
      </c>
      <c r="N35" s="28" t="str">
        <f t="shared" si="1"/>
        <v/>
      </c>
      <c r="O35" s="40"/>
      <c r="P35" s="6">
        <v>0</v>
      </c>
      <c r="Q35" s="6"/>
      <c r="R35" s="6">
        <v>0</v>
      </c>
      <c r="S35" s="6">
        <v>0</v>
      </c>
      <c r="T35" s="28" t="str">
        <f t="shared" si="2"/>
        <v/>
      </c>
      <c r="U35" s="40"/>
      <c r="V35" s="43">
        <v>0</v>
      </c>
      <c r="W35" s="43">
        <v>0</v>
      </c>
      <c r="X35" s="43">
        <v>0</v>
      </c>
      <c r="Y35" s="28" t="str">
        <f t="shared" si="3"/>
        <v/>
      </c>
      <c r="Z35" s="40"/>
      <c r="AA35" s="6">
        <f>E35+K35+P35+V35</f>
        <v>14396.96</v>
      </c>
      <c r="AB35" s="6">
        <f>G35+L35+R35+W35</f>
        <v>98174.720000000001</v>
      </c>
      <c r="AC35" s="6">
        <f>H35+M35+S35+X35</f>
        <v>136962.12285714285</v>
      </c>
      <c r="AD35" s="28">
        <f t="shared" si="5"/>
        <v>0.71680197380118216</v>
      </c>
    </row>
    <row r="36" spans="1:32" ht="15.75" x14ac:dyDescent="0.25">
      <c r="A36" s="9"/>
      <c r="B36" s="49" t="s">
        <v>188</v>
      </c>
      <c r="C36" s="38">
        <v>7300</v>
      </c>
      <c r="D36" s="49"/>
      <c r="E36" s="36">
        <f>SUMIF('P&amp;L Mar 2023'!$AB$5:$AB$201,'Stmt of Rev, Exp, and Fund Bal'!C36,'P&amp;L Mar 2023'!$T$5:$T$201)</f>
        <v>14792.849999999999</v>
      </c>
      <c r="F36" s="6">
        <v>14129.31</v>
      </c>
      <c r="G36" s="36">
        <f>SUMIF('P&amp;L Mar 2023'!$AB$5:$AB$77,'Stmt of Rev, Exp, and Fund Bal'!C36,'P&amp;L Mar 2023'!$X$5:$X$77)</f>
        <v>136243.74</v>
      </c>
      <c r="H36" s="6">
        <v>190628.996105</v>
      </c>
      <c r="I36" s="28">
        <f t="shared" si="0"/>
        <v>0.71470627650452423</v>
      </c>
      <c r="J36" s="40"/>
      <c r="K36" s="6">
        <v>0</v>
      </c>
      <c r="L36" s="6">
        <v>0</v>
      </c>
      <c r="M36" s="6">
        <v>0</v>
      </c>
      <c r="N36" s="28" t="str">
        <f t="shared" si="1"/>
        <v/>
      </c>
      <c r="O36" s="40"/>
      <c r="P36" s="6">
        <v>0</v>
      </c>
      <c r="Q36" s="6"/>
      <c r="R36" s="6">
        <v>0</v>
      </c>
      <c r="S36" s="6">
        <v>0</v>
      </c>
      <c r="T36" s="28" t="str">
        <f t="shared" si="2"/>
        <v/>
      </c>
      <c r="U36" s="40"/>
      <c r="V36" s="43">
        <v>0</v>
      </c>
      <c r="W36" s="43">
        <v>0</v>
      </c>
      <c r="X36" s="43">
        <v>0</v>
      </c>
      <c r="Y36" s="28" t="str">
        <f t="shared" si="3"/>
        <v/>
      </c>
      <c r="Z36" s="40"/>
      <c r="AA36" s="6">
        <f t="shared" si="9"/>
        <v>14792.849999999999</v>
      </c>
      <c r="AB36" s="6">
        <f t="shared" si="10"/>
        <v>136243.74</v>
      </c>
      <c r="AC36" s="6">
        <f t="shared" si="11"/>
        <v>190628.996105</v>
      </c>
      <c r="AD36" s="28">
        <f t="shared" si="5"/>
        <v>0.71470627650452423</v>
      </c>
    </row>
    <row r="37" spans="1:32" ht="15.75" x14ac:dyDescent="0.25">
      <c r="A37" s="9"/>
      <c r="B37" s="49" t="s">
        <v>187</v>
      </c>
      <c r="C37" s="38">
        <v>7400</v>
      </c>
      <c r="D37" s="49"/>
      <c r="E37" s="36">
        <f>SUMIF('P&amp;L Mar 2023'!$AB$5:$AB$201,'Stmt of Rev, Exp, and Fund Bal'!C37,'P&amp;L Mar 2023'!$T$5:$T$201)</f>
        <v>0</v>
      </c>
      <c r="F37" s="6">
        <v>0</v>
      </c>
      <c r="G37" s="36">
        <f>SUMIF('P&amp;L Mar 2023'!$AB$5:$AB$77,'Stmt of Rev, Exp, and Fund Bal'!C37,'P&amp;L Mar 2023'!$X$5:$X$77)</f>
        <v>0</v>
      </c>
      <c r="H37" s="6">
        <v>0</v>
      </c>
      <c r="I37" s="28" t="str">
        <f t="shared" si="0"/>
        <v/>
      </c>
      <c r="J37" s="40"/>
      <c r="K37" s="6">
        <v>0</v>
      </c>
      <c r="L37" s="6">
        <v>0</v>
      </c>
      <c r="M37" s="6">
        <v>0</v>
      </c>
      <c r="N37" s="28" t="str">
        <f t="shared" si="1"/>
        <v/>
      </c>
      <c r="O37" s="40"/>
      <c r="P37" s="6">
        <v>0</v>
      </c>
      <c r="Q37" s="6"/>
      <c r="R37" s="6">
        <v>0</v>
      </c>
      <c r="S37" s="6">
        <v>0</v>
      </c>
      <c r="T37" s="28" t="str">
        <f t="shared" si="2"/>
        <v/>
      </c>
      <c r="U37" s="40"/>
      <c r="V37" s="43">
        <f>V28</f>
        <v>0</v>
      </c>
      <c r="W37" s="43">
        <f>IF(X37&gt;W18,W28,W18)</f>
        <v>0</v>
      </c>
      <c r="X37" s="43">
        <f>X28</f>
        <v>0</v>
      </c>
      <c r="Y37" s="28" t="str">
        <f t="shared" si="3"/>
        <v/>
      </c>
      <c r="Z37" s="40"/>
      <c r="AA37" s="6">
        <f t="shared" si="9"/>
        <v>0</v>
      </c>
      <c r="AB37" s="6">
        <f t="shared" si="10"/>
        <v>0</v>
      </c>
      <c r="AC37" s="6">
        <f t="shared" si="11"/>
        <v>0</v>
      </c>
      <c r="AD37" s="28" t="str">
        <f t="shared" si="5"/>
        <v/>
      </c>
    </row>
    <row r="38" spans="1:32" ht="15.75" x14ac:dyDescent="0.25">
      <c r="A38" s="9"/>
      <c r="B38" s="49" t="s">
        <v>186</v>
      </c>
      <c r="C38" s="38">
        <v>7500</v>
      </c>
      <c r="D38" s="49"/>
      <c r="E38" s="36">
        <f>SUMIF('P&amp;L Mar 2023'!$AB$5:$AB$201,'Stmt of Rev, Exp, and Fund Bal'!C38,'P&amp;L Mar 2023'!$T$5:$T$201)</f>
        <v>4850</v>
      </c>
      <c r="F38" s="6"/>
      <c r="G38" s="36">
        <f>SUMIF('P&amp;L Mar 2023'!$AB$5:$AB$77,'Stmt of Rev, Exp, and Fund Bal'!C38,'P&amp;L Mar 2023'!$X$5:$X$77)</f>
        <v>39962</v>
      </c>
      <c r="H38" s="6">
        <v>53117</v>
      </c>
      <c r="I38" s="28">
        <f t="shared" si="0"/>
        <v>0.75233917578176479</v>
      </c>
      <c r="J38" s="40"/>
      <c r="K38" s="6">
        <v>0</v>
      </c>
      <c r="L38" s="6">
        <v>0</v>
      </c>
      <c r="M38" s="6">
        <v>0</v>
      </c>
      <c r="N38" s="28" t="str">
        <f t="shared" si="1"/>
        <v/>
      </c>
      <c r="O38" s="40"/>
      <c r="P38" s="6">
        <v>0</v>
      </c>
      <c r="Q38" s="6"/>
      <c r="R38" s="6">
        <v>0</v>
      </c>
      <c r="S38" s="6">
        <v>0</v>
      </c>
      <c r="T38" s="28" t="str">
        <f t="shared" si="2"/>
        <v/>
      </c>
      <c r="U38" s="40"/>
      <c r="V38" s="43">
        <v>0</v>
      </c>
      <c r="W38" s="43">
        <v>0</v>
      </c>
      <c r="X38" s="43">
        <v>0</v>
      </c>
      <c r="Y38" s="28" t="str">
        <f t="shared" si="3"/>
        <v/>
      </c>
      <c r="Z38" s="40"/>
      <c r="AA38" s="6">
        <f t="shared" si="9"/>
        <v>4850</v>
      </c>
      <c r="AB38" s="6">
        <f t="shared" si="10"/>
        <v>39962</v>
      </c>
      <c r="AC38" s="6">
        <f t="shared" si="11"/>
        <v>53117</v>
      </c>
      <c r="AD38" s="28">
        <f t="shared" si="5"/>
        <v>0.75233917578176479</v>
      </c>
    </row>
    <row r="39" spans="1:32" ht="15.75" x14ac:dyDescent="0.25">
      <c r="A39" s="9"/>
      <c r="B39" s="49" t="s">
        <v>185</v>
      </c>
      <c r="C39" s="38">
        <v>7600</v>
      </c>
      <c r="D39" s="49"/>
      <c r="E39" s="36">
        <f>SUMIF('P&amp;L Mar 2023'!$AB$5:$AB$201,'Stmt of Rev, Exp, and Fund Bal'!C39,'P&amp;L Mar 2023'!$T$5:$T$201)</f>
        <v>8811</v>
      </c>
      <c r="F39" s="6">
        <v>0</v>
      </c>
      <c r="G39" s="36">
        <f>SUMIF('P&amp;L Mar 2023'!$AB$5:$AB$77,'Stmt of Rev, Exp, and Fund Bal'!C39,'P&amp;L Mar 2023'!$X$5:$X$77)</f>
        <v>63947.5</v>
      </c>
      <c r="H39" s="6">
        <v>89576</v>
      </c>
      <c r="I39" s="28">
        <f t="shared" si="0"/>
        <v>0.71389099758863983</v>
      </c>
      <c r="J39" s="40"/>
      <c r="K39" s="6">
        <v>0</v>
      </c>
      <c r="L39" s="6">
        <v>0</v>
      </c>
      <c r="M39" s="6">
        <v>0</v>
      </c>
      <c r="N39" s="28" t="str">
        <f t="shared" si="1"/>
        <v/>
      </c>
      <c r="O39" s="40"/>
      <c r="P39" s="6">
        <v>0</v>
      </c>
      <c r="Q39" s="6"/>
      <c r="R39" s="6">
        <v>0</v>
      </c>
      <c r="S39" s="6">
        <v>0</v>
      </c>
      <c r="T39" s="28" t="str">
        <f t="shared" si="2"/>
        <v/>
      </c>
      <c r="U39" s="40"/>
      <c r="V39" s="43">
        <v>0</v>
      </c>
      <c r="W39" s="43">
        <v>0</v>
      </c>
      <c r="X39" s="43">
        <v>0</v>
      </c>
      <c r="Y39" s="28" t="str">
        <f t="shared" si="3"/>
        <v/>
      </c>
      <c r="Z39" s="40"/>
      <c r="AA39" s="6">
        <f>E39+K39+P38+V39</f>
        <v>8811</v>
      </c>
      <c r="AB39" s="6">
        <f t="shared" si="10"/>
        <v>63947.5</v>
      </c>
      <c r="AC39" s="6">
        <f t="shared" si="11"/>
        <v>89576</v>
      </c>
      <c r="AD39" s="28">
        <f t="shared" si="5"/>
        <v>0.71389099758863983</v>
      </c>
    </row>
    <row r="40" spans="1:32" ht="15.75" x14ac:dyDescent="0.25">
      <c r="A40" s="9"/>
      <c r="B40" s="49" t="s">
        <v>184</v>
      </c>
      <c r="C40" s="38">
        <v>7700</v>
      </c>
      <c r="D40" s="49"/>
      <c r="E40" s="36">
        <f>SUMIF('P&amp;L Mar 2023'!$AB$5:$AB$201,'Stmt of Rev, Exp, and Fund Bal'!C40,'P&amp;L Mar 2023'!$T$5:$T$201)</f>
        <v>370.79</v>
      </c>
      <c r="F40" s="6">
        <v>5275</v>
      </c>
      <c r="G40" s="36">
        <f>SUMIF('P&amp;L Mar 2023'!$AB$5:$AB$77,'Stmt of Rev, Exp, and Fund Bal'!C40,'P&amp;L Mar 2023'!$X$5:$X$77)</f>
        <v>2067.79</v>
      </c>
      <c r="H40" s="6">
        <v>2996</v>
      </c>
      <c r="I40" s="28">
        <f t="shared" si="0"/>
        <v>0.69018357810413888</v>
      </c>
      <c r="J40" s="40"/>
      <c r="K40" s="6">
        <v>0</v>
      </c>
      <c r="L40" s="6">
        <v>0</v>
      </c>
      <c r="M40" s="6">
        <v>0</v>
      </c>
      <c r="N40" s="28" t="str">
        <f t="shared" si="1"/>
        <v/>
      </c>
      <c r="O40" s="40"/>
      <c r="P40" s="6">
        <v>0</v>
      </c>
      <c r="Q40" s="6"/>
      <c r="R40" s="6">
        <v>0</v>
      </c>
      <c r="S40" s="6">
        <v>0</v>
      </c>
      <c r="T40" s="28" t="str">
        <f t="shared" si="2"/>
        <v/>
      </c>
      <c r="U40" s="40"/>
      <c r="V40" s="43">
        <v>0</v>
      </c>
      <c r="W40" s="43">
        <v>0</v>
      </c>
      <c r="X40" s="43">
        <v>0</v>
      </c>
      <c r="Y40" s="28" t="str">
        <f t="shared" si="3"/>
        <v/>
      </c>
      <c r="Z40" s="40"/>
      <c r="AA40" s="6">
        <f t="shared" ref="AA40:AA46" si="12">E40+K40+P40+V40</f>
        <v>370.79</v>
      </c>
      <c r="AB40" s="6">
        <f t="shared" si="10"/>
        <v>2067.79</v>
      </c>
      <c r="AC40" s="6">
        <f t="shared" si="11"/>
        <v>2996</v>
      </c>
      <c r="AD40" s="28">
        <f t="shared" si="5"/>
        <v>0.69018357810413888</v>
      </c>
    </row>
    <row r="41" spans="1:32" ht="15.75" x14ac:dyDescent="0.25">
      <c r="A41" s="9"/>
      <c r="B41" s="49" t="s">
        <v>183</v>
      </c>
      <c r="C41" s="38">
        <v>7800</v>
      </c>
      <c r="D41" s="49"/>
      <c r="E41" s="36">
        <f>SUMIF('P&amp;L Mar 2023'!$AB$5:$AB$201,'Stmt of Rev, Exp, and Fund Bal'!C41,'P&amp;L Mar 2023'!$T$5:$T$201)</f>
        <v>0</v>
      </c>
      <c r="F41" s="6">
        <v>0</v>
      </c>
      <c r="G41" s="36">
        <f>SUMIF('P&amp;L Mar 2023'!$AB$5:$AB$77,'Stmt of Rev, Exp, and Fund Bal'!C41,'P&amp;L Mar 2023'!$X$5:$X$77)</f>
        <v>0</v>
      </c>
      <c r="H41" s="6">
        <v>0</v>
      </c>
      <c r="I41" s="28" t="str">
        <f t="shared" si="0"/>
        <v/>
      </c>
      <c r="J41" s="40"/>
      <c r="K41" s="6">
        <v>0</v>
      </c>
      <c r="L41" s="6">
        <v>0</v>
      </c>
      <c r="M41" s="6">
        <v>0</v>
      </c>
      <c r="N41" s="28" t="str">
        <f t="shared" si="1"/>
        <v/>
      </c>
      <c r="O41" s="40"/>
      <c r="P41" s="6">
        <v>0</v>
      </c>
      <c r="Q41" s="6"/>
      <c r="R41" s="6">
        <v>0</v>
      </c>
      <c r="S41" s="6">
        <v>0</v>
      </c>
      <c r="T41" s="28" t="str">
        <f t="shared" si="2"/>
        <v/>
      </c>
      <c r="U41" s="40"/>
      <c r="V41" s="43">
        <v>0</v>
      </c>
      <c r="W41" s="43">
        <v>0</v>
      </c>
      <c r="X41" s="43">
        <v>0</v>
      </c>
      <c r="Y41" s="28" t="str">
        <f t="shared" si="3"/>
        <v/>
      </c>
      <c r="Z41" s="40"/>
      <c r="AA41" s="6">
        <f t="shared" si="12"/>
        <v>0</v>
      </c>
      <c r="AB41" s="6">
        <f t="shared" si="10"/>
        <v>0</v>
      </c>
      <c r="AC41" s="6">
        <f t="shared" si="11"/>
        <v>0</v>
      </c>
      <c r="AD41" s="28" t="str">
        <f t="shared" si="5"/>
        <v/>
      </c>
    </row>
    <row r="42" spans="1:32" ht="15.75" x14ac:dyDescent="0.25">
      <c r="A42" s="9"/>
      <c r="B42" s="49" t="s">
        <v>182</v>
      </c>
      <c r="C42" s="38">
        <v>7900</v>
      </c>
      <c r="D42" s="49"/>
      <c r="E42" s="36">
        <f>SUMIF('P&amp;L Mar 2023'!$AB$5:$AB$201,'Stmt of Rev, Exp, and Fund Bal'!C42,'P&amp;L Mar 2023'!$T$5:$T$201)</f>
        <v>27561.68</v>
      </c>
      <c r="F42" s="6">
        <v>792.29</v>
      </c>
      <c r="G42" s="36">
        <f>SUMIF('P&amp;L Mar 2023'!$AB$5:$AB$77,'Stmt of Rev, Exp, and Fund Bal'!C42,'P&amp;L Mar 2023'!$X$5:$X$77)</f>
        <v>211686.77</v>
      </c>
      <c r="H42" s="6">
        <v>242901.54000000004</v>
      </c>
      <c r="I42" s="28">
        <f t="shared" si="0"/>
        <v>0.87149208687602375</v>
      </c>
      <c r="J42" s="40"/>
      <c r="K42" s="6">
        <v>0</v>
      </c>
      <c r="L42" s="6">
        <v>0</v>
      </c>
      <c r="M42" s="6">
        <v>49045</v>
      </c>
      <c r="N42" s="28">
        <f t="shared" si="1"/>
        <v>0</v>
      </c>
      <c r="O42" s="40"/>
      <c r="P42" s="6">
        <v>0</v>
      </c>
      <c r="Q42" s="6"/>
      <c r="R42" s="6">
        <v>0</v>
      </c>
      <c r="S42" s="6">
        <v>0</v>
      </c>
      <c r="T42" s="28" t="str">
        <f t="shared" si="2"/>
        <v/>
      </c>
      <c r="U42" s="40"/>
      <c r="V42" s="43">
        <v>0</v>
      </c>
      <c r="W42" s="43">
        <v>0</v>
      </c>
      <c r="X42" s="43">
        <v>0</v>
      </c>
      <c r="Y42" s="28" t="str">
        <f t="shared" si="3"/>
        <v/>
      </c>
      <c r="Z42" s="40"/>
      <c r="AA42" s="6">
        <f t="shared" si="12"/>
        <v>27561.68</v>
      </c>
      <c r="AB42" s="6">
        <f t="shared" si="10"/>
        <v>211686.77</v>
      </c>
      <c r="AC42" s="6">
        <f t="shared" si="11"/>
        <v>291946.54000000004</v>
      </c>
      <c r="AD42" s="28">
        <f t="shared" si="5"/>
        <v>0.72508744237900524</v>
      </c>
    </row>
    <row r="43" spans="1:32" ht="15.75" x14ac:dyDescent="0.25">
      <c r="A43" s="9"/>
      <c r="B43" s="49" t="s">
        <v>181</v>
      </c>
      <c r="C43" s="38">
        <v>8100</v>
      </c>
      <c r="D43" s="49"/>
      <c r="E43" s="36">
        <f>SUMIF('P&amp;L Mar 2023'!$AB$5:$AB$201,'Stmt of Rev, Exp, and Fund Bal'!C43,'P&amp;L Mar 2023'!$T$5:$T$201)</f>
        <v>0</v>
      </c>
      <c r="F43" s="6">
        <v>0</v>
      </c>
      <c r="G43" s="36">
        <f>SUMIF('P&amp;L Mar 2023'!$AB$5:$AB$77,'Stmt of Rev, Exp, and Fund Bal'!C43,'P&amp;L Mar 2023'!$X$5:$X$77)</f>
        <v>0</v>
      </c>
      <c r="H43" s="21">
        <v>0</v>
      </c>
      <c r="I43" s="28" t="str">
        <f t="shared" si="0"/>
        <v/>
      </c>
      <c r="J43" s="40"/>
      <c r="K43" s="6">
        <v>0</v>
      </c>
      <c r="L43" s="6">
        <v>0</v>
      </c>
      <c r="M43" s="6">
        <v>0</v>
      </c>
      <c r="N43" s="28" t="str">
        <f t="shared" si="1"/>
        <v/>
      </c>
      <c r="O43" s="40"/>
      <c r="P43" s="6">
        <v>0</v>
      </c>
      <c r="Q43" s="6"/>
      <c r="R43" s="6">
        <v>0</v>
      </c>
      <c r="S43" s="6">
        <v>0</v>
      </c>
      <c r="T43" s="28" t="str">
        <f t="shared" si="2"/>
        <v/>
      </c>
      <c r="U43" s="40"/>
      <c r="V43" s="43">
        <v>0</v>
      </c>
      <c r="W43" s="43">
        <v>0</v>
      </c>
      <c r="X43" s="43">
        <v>0</v>
      </c>
      <c r="Y43" s="28" t="str">
        <f t="shared" si="3"/>
        <v/>
      </c>
      <c r="Z43" s="40"/>
      <c r="AA43" s="6">
        <f t="shared" si="12"/>
        <v>0</v>
      </c>
      <c r="AB43" s="6">
        <f t="shared" si="10"/>
        <v>0</v>
      </c>
      <c r="AC43" s="6">
        <f t="shared" si="11"/>
        <v>0</v>
      </c>
      <c r="AD43" s="28" t="str">
        <f t="shared" si="5"/>
        <v/>
      </c>
    </row>
    <row r="44" spans="1:32" ht="15.75" x14ac:dyDescent="0.25">
      <c r="A44" s="9"/>
      <c r="B44" s="49" t="s">
        <v>180</v>
      </c>
      <c r="C44" s="38">
        <v>8200</v>
      </c>
      <c r="D44" s="49"/>
      <c r="E44" s="36">
        <f>SUMIF('P&amp;L Mar 2023'!$AB$5:$AB$201,'Stmt of Rev, Exp, and Fund Bal'!C44,'P&amp;L Mar 2023'!$T$5:$T$201)</f>
        <v>171.2</v>
      </c>
      <c r="F44" s="6">
        <v>0</v>
      </c>
      <c r="G44" s="36">
        <f>SUMIF('P&amp;L Mar 2023'!$AB$5:$AB$77,'Stmt of Rev, Exp, and Fund Bal'!C44,'P&amp;L Mar 2023'!$X$5:$X$77)</f>
        <v>2378.4</v>
      </c>
      <c r="H44" s="6">
        <v>1739.5</v>
      </c>
      <c r="I44" s="28">
        <f t="shared" si="0"/>
        <v>1.3672894509916644</v>
      </c>
      <c r="J44" s="40"/>
      <c r="K44" s="6">
        <v>0</v>
      </c>
      <c r="L44" s="6">
        <v>0</v>
      </c>
      <c r="M44" s="6">
        <v>0</v>
      </c>
      <c r="N44" s="28" t="str">
        <f t="shared" si="1"/>
        <v/>
      </c>
      <c r="O44" s="40"/>
      <c r="P44" s="6">
        <v>0</v>
      </c>
      <c r="Q44" s="6"/>
      <c r="R44" s="6">
        <v>0</v>
      </c>
      <c r="S44" s="6">
        <v>0</v>
      </c>
      <c r="T44" s="28" t="str">
        <f t="shared" si="2"/>
        <v/>
      </c>
      <c r="U44" s="40"/>
      <c r="V44" s="43">
        <v>0</v>
      </c>
      <c r="W44" s="43">
        <v>0</v>
      </c>
      <c r="X44" s="43">
        <v>0</v>
      </c>
      <c r="Y44" s="28" t="str">
        <f t="shared" si="3"/>
        <v/>
      </c>
      <c r="Z44" s="40"/>
      <c r="AA44" s="6">
        <f t="shared" si="12"/>
        <v>171.2</v>
      </c>
      <c r="AB44" s="6">
        <f t="shared" si="10"/>
        <v>2378.4</v>
      </c>
      <c r="AC44" s="6">
        <f t="shared" si="11"/>
        <v>1739.5</v>
      </c>
      <c r="AD44" s="28">
        <f t="shared" si="5"/>
        <v>1.3672894509916644</v>
      </c>
      <c r="AF44" s="81"/>
    </row>
    <row r="45" spans="1:32" ht="15.75" x14ac:dyDescent="0.25">
      <c r="A45" s="9"/>
      <c r="B45" s="49" t="s">
        <v>179</v>
      </c>
      <c r="C45" s="38">
        <v>9100</v>
      </c>
      <c r="D45" s="49"/>
      <c r="E45" s="36">
        <f>SUMIF('P&amp;L Mar 2023'!$AB$5:$AB$201,'Stmt of Rev, Exp, and Fund Bal'!C45,'P&amp;L Mar 2023'!$T$5:$T$201)</f>
        <v>0</v>
      </c>
      <c r="F45" s="6"/>
      <c r="G45" s="36">
        <f>SUMIF('P&amp;L Mar 2023'!$AB$5:$AB$77,'Stmt of Rev, Exp, and Fund Bal'!C45,'P&amp;L Mar 2023'!$X$5:$X$77)</f>
        <v>0</v>
      </c>
      <c r="H45" s="6">
        <v>0</v>
      </c>
      <c r="I45" s="28" t="str">
        <f t="shared" si="0"/>
        <v/>
      </c>
      <c r="J45" s="40"/>
      <c r="K45" s="6">
        <v>0</v>
      </c>
      <c r="L45" s="6">
        <v>0</v>
      </c>
      <c r="M45" s="6">
        <v>0</v>
      </c>
      <c r="N45" s="28" t="str">
        <f t="shared" si="1"/>
        <v/>
      </c>
      <c r="O45" s="40"/>
      <c r="P45" s="6">
        <v>0</v>
      </c>
      <c r="Q45" s="6"/>
      <c r="R45" s="6">
        <v>0</v>
      </c>
      <c r="S45" s="6">
        <v>0</v>
      </c>
      <c r="T45" s="28" t="str">
        <f t="shared" si="2"/>
        <v/>
      </c>
      <c r="U45" s="40"/>
      <c r="V45" s="43">
        <v>0</v>
      </c>
      <c r="W45" s="43">
        <v>0</v>
      </c>
      <c r="X45" s="43">
        <v>0</v>
      </c>
      <c r="Y45" s="28" t="str">
        <f t="shared" si="3"/>
        <v/>
      </c>
      <c r="Z45" s="40"/>
      <c r="AA45" s="21">
        <f t="shared" si="12"/>
        <v>0</v>
      </c>
      <c r="AB45" s="6">
        <f t="shared" si="10"/>
        <v>0</v>
      </c>
      <c r="AC45" s="6">
        <f t="shared" si="11"/>
        <v>0</v>
      </c>
      <c r="AD45" s="28" t="str">
        <f t="shared" si="5"/>
        <v/>
      </c>
    </row>
    <row r="46" spans="1:32" ht="15.75" x14ac:dyDescent="0.25">
      <c r="A46" s="9"/>
      <c r="B46" s="49" t="s">
        <v>178</v>
      </c>
      <c r="C46" s="38">
        <v>9200</v>
      </c>
      <c r="D46" s="49"/>
      <c r="E46" s="36">
        <f>SUMIF('P&amp;L Mar 2023'!$AB$5:$AB$201,'Stmt of Rev, Exp, and Fund Bal'!C46,'P&amp;L Mar 2023'!$T$5:$T$201)</f>
        <v>0</v>
      </c>
      <c r="F46" s="6"/>
      <c r="G46" s="36">
        <f>SUMIF('P&amp;L Mar 2023'!$AB$5:$AB$77,'Stmt of Rev, Exp, and Fund Bal'!C46,'P&amp;L Mar 2023'!$X$5:$X$77)</f>
        <v>0</v>
      </c>
      <c r="H46" s="6">
        <v>0</v>
      </c>
      <c r="I46" s="28" t="str">
        <f t="shared" si="0"/>
        <v/>
      </c>
      <c r="J46" s="40"/>
      <c r="K46" s="6">
        <v>0</v>
      </c>
      <c r="L46" s="6">
        <v>0</v>
      </c>
      <c r="M46" s="6">
        <v>0</v>
      </c>
      <c r="N46" s="28" t="str">
        <f t="shared" si="1"/>
        <v/>
      </c>
      <c r="O46" s="40"/>
      <c r="P46" s="6">
        <v>0</v>
      </c>
      <c r="Q46" s="6">
        <v>0</v>
      </c>
      <c r="R46" s="6">
        <f>P46+Q46</f>
        <v>0</v>
      </c>
      <c r="S46" s="6">
        <v>0</v>
      </c>
      <c r="T46" s="28" t="str">
        <f t="shared" si="2"/>
        <v/>
      </c>
      <c r="U46" s="40"/>
      <c r="V46" s="43">
        <v>0</v>
      </c>
      <c r="W46" s="43">
        <v>0</v>
      </c>
      <c r="X46" s="43">
        <v>0</v>
      </c>
      <c r="Y46" s="28" t="str">
        <f t="shared" si="3"/>
        <v/>
      </c>
      <c r="Z46" s="40"/>
      <c r="AA46" s="21">
        <f t="shared" si="12"/>
        <v>0</v>
      </c>
      <c r="AB46" s="6">
        <f t="shared" si="10"/>
        <v>0</v>
      </c>
      <c r="AC46" s="6">
        <f t="shared" si="11"/>
        <v>0</v>
      </c>
      <c r="AD46" s="28" t="str">
        <f t="shared" si="5"/>
        <v/>
      </c>
    </row>
    <row r="47" spans="1:32" ht="15.75" x14ac:dyDescent="0.25">
      <c r="A47" s="11" t="s">
        <v>177</v>
      </c>
      <c r="B47" s="9"/>
      <c r="C47" s="9"/>
      <c r="D47" s="9"/>
      <c r="E47" s="44">
        <f>SUM(E32:E46)</f>
        <v>107964.58999999998</v>
      </c>
      <c r="F47" s="44"/>
      <c r="G47" s="44">
        <f>SUM(G32:G46)</f>
        <v>973736.00000000012</v>
      </c>
      <c r="H47" s="44">
        <f>SUM(H32:H46)</f>
        <v>1227433.3004171429</v>
      </c>
      <c r="I47" s="45">
        <f t="shared" si="0"/>
        <v>0.79331072382432199</v>
      </c>
      <c r="J47" s="50"/>
      <c r="K47" s="44">
        <f>SUM(K32:K46)</f>
        <v>0</v>
      </c>
      <c r="L47" s="44">
        <f>SUM(L32:L46)</f>
        <v>0</v>
      </c>
      <c r="M47" s="44">
        <f>SUM(M32:M46)</f>
        <v>49045</v>
      </c>
      <c r="N47" s="45">
        <f t="shared" si="1"/>
        <v>0</v>
      </c>
      <c r="O47" s="50"/>
      <c r="P47" s="44">
        <f>SUM(P32:P46)</f>
        <v>0</v>
      </c>
      <c r="Q47" s="44"/>
      <c r="R47" s="44">
        <f>SUM(R32:R46)</f>
        <v>0</v>
      </c>
      <c r="S47" s="44">
        <f>SUM(S32:S46)</f>
        <v>0</v>
      </c>
      <c r="T47" s="45" t="str">
        <f t="shared" si="2"/>
        <v/>
      </c>
      <c r="U47" s="50"/>
      <c r="V47" s="47">
        <f>SUM(V32:V46)</f>
        <v>0</v>
      </c>
      <c r="W47" s="47">
        <f>SUM(W32:W46)</f>
        <v>0</v>
      </c>
      <c r="X47" s="47">
        <f>SUM(X32:X46)</f>
        <v>0</v>
      </c>
      <c r="Y47" s="45" t="str">
        <f t="shared" si="3"/>
        <v/>
      </c>
      <c r="Z47" s="50"/>
      <c r="AA47" s="44">
        <f>SUM(AA32:AA46)</f>
        <v>107964.58999999998</v>
      </c>
      <c r="AB47" s="44">
        <f>SUM(AB32:AB46)</f>
        <v>973736.00000000012</v>
      </c>
      <c r="AC47" s="44">
        <f>SUM(AC32:AC46)</f>
        <v>1276478.3004171429</v>
      </c>
      <c r="AD47" s="45">
        <f t="shared" si="5"/>
        <v>0.7628300455102065</v>
      </c>
    </row>
    <row r="48" spans="1:32" ht="15.75" x14ac:dyDescent="0.25">
      <c r="A48" s="11" t="s">
        <v>176</v>
      </c>
      <c r="B48" s="9"/>
      <c r="C48" s="9"/>
      <c r="D48" s="9"/>
      <c r="E48" s="51">
        <f>E28-E47</f>
        <v>-10972.589999999982</v>
      </c>
      <c r="F48" s="51"/>
      <c r="G48" s="51">
        <f>G28-G47</f>
        <v>-175735.00000000012</v>
      </c>
      <c r="H48" s="51">
        <f>H28-H47</f>
        <v>-156097.94327428588</v>
      </c>
      <c r="I48" s="45">
        <f t="shared" si="0"/>
        <v>1.1257995865532269</v>
      </c>
      <c r="J48" s="50"/>
      <c r="K48" s="51">
        <f>K28-K47</f>
        <v>4920</v>
      </c>
      <c r="L48" s="51">
        <f>L28-L47</f>
        <v>42272</v>
      </c>
      <c r="M48" s="51">
        <f>M28-M47</f>
        <v>0</v>
      </c>
      <c r="N48" s="45" t="str">
        <f t="shared" si="1"/>
        <v/>
      </c>
      <c r="O48" s="50"/>
      <c r="P48" s="51">
        <f>P28-P47</f>
        <v>0</v>
      </c>
      <c r="Q48" s="51"/>
      <c r="R48" s="51">
        <f>R28-R47</f>
        <v>150000</v>
      </c>
      <c r="S48" s="51">
        <f>S28-S47</f>
        <v>150000</v>
      </c>
      <c r="T48" s="45">
        <f t="shared" si="2"/>
        <v>1</v>
      </c>
      <c r="U48" s="50"/>
      <c r="V48" s="52">
        <f>V28-V47</f>
        <v>0</v>
      </c>
      <c r="W48" s="52">
        <f>W28-W47</f>
        <v>0</v>
      </c>
      <c r="X48" s="52">
        <f>X28-X47</f>
        <v>0</v>
      </c>
      <c r="Y48" s="45" t="str">
        <f t="shared" si="3"/>
        <v/>
      </c>
      <c r="Z48" s="50"/>
      <c r="AA48" s="51">
        <f>AA28-AA47</f>
        <v>-6052.589999999982</v>
      </c>
      <c r="AB48" s="51">
        <f>AB28-AB47</f>
        <v>16536.999999999884</v>
      </c>
      <c r="AC48" s="51">
        <f>AC28-AC47</f>
        <v>-6097.9432742858771</v>
      </c>
      <c r="AD48" s="45">
        <f t="shared" si="5"/>
        <v>-2.7118979721792362</v>
      </c>
    </row>
    <row r="49" spans="1:30" ht="15.75" x14ac:dyDescent="0.25">
      <c r="A49" s="9"/>
      <c r="B49" s="9"/>
      <c r="C49" s="9"/>
      <c r="D49" s="9"/>
      <c r="E49" s="21"/>
      <c r="F49" s="21"/>
      <c r="G49" s="21"/>
      <c r="H49" s="21"/>
      <c r="I49" s="28" t="str">
        <f t="shared" si="0"/>
        <v/>
      </c>
      <c r="J49" s="40"/>
      <c r="K49" s="21"/>
      <c r="L49" s="21"/>
      <c r="M49" s="21"/>
      <c r="N49" s="28" t="str">
        <f t="shared" si="1"/>
        <v/>
      </c>
      <c r="O49" s="40"/>
      <c r="P49" s="21"/>
      <c r="Q49" s="21"/>
      <c r="R49" s="21"/>
      <c r="S49" s="21"/>
      <c r="T49" s="28" t="str">
        <f t="shared" si="2"/>
        <v/>
      </c>
      <c r="U49" s="40"/>
      <c r="V49" s="40"/>
      <c r="W49" s="40"/>
      <c r="X49" s="40"/>
      <c r="Y49" s="28" t="str">
        <f t="shared" si="3"/>
        <v/>
      </c>
      <c r="Z49" s="40"/>
      <c r="AA49" s="21"/>
      <c r="AB49" s="21"/>
      <c r="AC49" s="21"/>
      <c r="AD49" s="28" t="str">
        <f t="shared" si="5"/>
        <v/>
      </c>
    </row>
    <row r="50" spans="1:30" ht="15.75" x14ac:dyDescent="0.25">
      <c r="A50" s="11" t="s">
        <v>175</v>
      </c>
      <c r="B50" s="9"/>
      <c r="C50" s="9"/>
      <c r="D50" s="9"/>
      <c r="E50" s="21"/>
      <c r="F50" s="21"/>
      <c r="G50" s="21"/>
      <c r="H50" s="21"/>
      <c r="I50" s="28" t="str">
        <f t="shared" si="0"/>
        <v/>
      </c>
      <c r="J50" s="40"/>
      <c r="K50" s="21"/>
      <c r="L50" s="21"/>
      <c r="M50" s="21"/>
      <c r="N50" s="28" t="str">
        <f t="shared" si="1"/>
        <v/>
      </c>
      <c r="O50" s="40"/>
      <c r="P50" s="21"/>
      <c r="Q50" s="21"/>
      <c r="R50" s="21"/>
      <c r="S50" s="21"/>
      <c r="T50" s="28" t="str">
        <f t="shared" si="2"/>
        <v/>
      </c>
      <c r="U50" s="40"/>
      <c r="V50" s="40"/>
      <c r="W50" s="40"/>
      <c r="X50" s="40"/>
      <c r="Y50" s="28" t="str">
        <f t="shared" si="3"/>
        <v/>
      </c>
      <c r="Z50" s="40"/>
      <c r="AA50" s="21"/>
      <c r="AB50" s="21"/>
      <c r="AC50" s="21"/>
      <c r="AD50" s="28" t="str">
        <f t="shared" si="5"/>
        <v/>
      </c>
    </row>
    <row r="51" spans="1:30" ht="15.75" x14ac:dyDescent="0.25">
      <c r="A51" s="9" t="s">
        <v>174</v>
      </c>
      <c r="B51" s="9"/>
      <c r="C51" s="18">
        <v>3600</v>
      </c>
      <c r="D51" s="9"/>
      <c r="E51" s="6">
        <f>P26</f>
        <v>0</v>
      </c>
      <c r="F51" s="6">
        <v>65275</v>
      </c>
      <c r="G51" s="6">
        <f>R26</f>
        <v>150000</v>
      </c>
      <c r="H51" s="6">
        <v>150000</v>
      </c>
      <c r="I51" s="28">
        <f t="shared" si="0"/>
        <v>1</v>
      </c>
      <c r="J51" s="40"/>
      <c r="K51" s="6">
        <v>0</v>
      </c>
      <c r="L51" s="6">
        <v>0</v>
      </c>
      <c r="M51" s="6">
        <v>0</v>
      </c>
      <c r="N51" s="28" t="str">
        <f t="shared" si="1"/>
        <v/>
      </c>
      <c r="O51" s="40"/>
      <c r="P51" s="6">
        <f>IF(P48&gt;0,0,-P48)</f>
        <v>0</v>
      </c>
      <c r="Q51" s="6">
        <v>0</v>
      </c>
      <c r="R51" s="6">
        <f>IF(R48&gt;0,0,-R48)</f>
        <v>0</v>
      </c>
      <c r="S51" s="6"/>
      <c r="T51" s="28" t="str">
        <f t="shared" si="2"/>
        <v/>
      </c>
      <c r="U51" s="40"/>
      <c r="V51" s="43">
        <f>IF(V48&lt;0,-V48,0)</f>
        <v>0</v>
      </c>
      <c r="W51" s="43">
        <f>IF(W48&lt;0,-W48,0)</f>
        <v>0</v>
      </c>
      <c r="X51" s="43">
        <v>0</v>
      </c>
      <c r="Y51" s="28" t="str">
        <f t="shared" si="3"/>
        <v/>
      </c>
      <c r="Z51" s="40"/>
      <c r="AA51" s="6">
        <f>E51+K51+P51+V51</f>
        <v>0</v>
      </c>
      <c r="AB51" s="6">
        <f>G51+L51+R51+W51</f>
        <v>150000</v>
      </c>
      <c r="AC51" s="6">
        <f>H51+M51+S51+X51</f>
        <v>150000</v>
      </c>
      <c r="AD51" s="28">
        <f t="shared" si="5"/>
        <v>1</v>
      </c>
    </row>
    <row r="52" spans="1:30" ht="15.75" x14ac:dyDescent="0.25">
      <c r="A52" s="9" t="s">
        <v>173</v>
      </c>
      <c r="B52" s="9"/>
      <c r="C52" s="18">
        <v>9700</v>
      </c>
      <c r="D52" s="9"/>
      <c r="E52" s="6">
        <v>0</v>
      </c>
      <c r="F52" s="6">
        <v>0</v>
      </c>
      <c r="G52" s="6">
        <v>0</v>
      </c>
      <c r="H52" s="6">
        <f>-X51-M51</f>
        <v>0</v>
      </c>
      <c r="I52" s="28" t="str">
        <f t="shared" si="0"/>
        <v/>
      </c>
      <c r="J52" s="40"/>
      <c r="K52" s="6"/>
      <c r="L52" s="6"/>
      <c r="M52" s="6"/>
      <c r="N52" s="28" t="str">
        <f t="shared" si="1"/>
        <v/>
      </c>
      <c r="O52" s="40"/>
      <c r="P52" s="6">
        <f>-P26</f>
        <v>0</v>
      </c>
      <c r="Q52" s="6">
        <v>-65275</v>
      </c>
      <c r="R52" s="6">
        <f>-R26</f>
        <v>-150000</v>
      </c>
      <c r="S52" s="6">
        <v>-150000</v>
      </c>
      <c r="T52" s="28">
        <f t="shared" si="2"/>
        <v>1</v>
      </c>
      <c r="U52" s="40"/>
      <c r="V52" s="43">
        <f>IF(V48&gt;0,V48,0)</f>
        <v>0</v>
      </c>
      <c r="W52" s="43">
        <f>IF(W48&gt;0,W48,0)</f>
        <v>0</v>
      </c>
      <c r="X52" s="43">
        <v>0</v>
      </c>
      <c r="Y52" s="28" t="str">
        <f t="shared" si="3"/>
        <v/>
      </c>
      <c r="Z52" s="40"/>
      <c r="AA52" s="6">
        <f>E52+K52+P52+V52</f>
        <v>0</v>
      </c>
      <c r="AB52" s="6">
        <f>G52+L52+R52+W52</f>
        <v>-150000</v>
      </c>
      <c r="AC52" s="6">
        <f>H52+M52+S52+X52</f>
        <v>-150000</v>
      </c>
      <c r="AD52" s="28">
        <f t="shared" si="5"/>
        <v>1</v>
      </c>
    </row>
    <row r="53" spans="1:30" ht="15.75" x14ac:dyDescent="0.25">
      <c r="A53" s="11" t="s">
        <v>172</v>
      </c>
      <c r="B53" s="9"/>
      <c r="C53" s="9"/>
      <c r="D53" s="9"/>
      <c r="E53" s="44">
        <f>SUM(E51:E52)</f>
        <v>0</v>
      </c>
      <c r="F53" s="44"/>
      <c r="G53" s="44">
        <f>SUM(G51:G52)</f>
        <v>150000</v>
      </c>
      <c r="H53" s="44">
        <f>SUM(H51:H52)</f>
        <v>150000</v>
      </c>
      <c r="I53" s="45">
        <f t="shared" si="0"/>
        <v>1</v>
      </c>
      <c r="J53" s="50"/>
      <c r="K53" s="44">
        <f>SUM(K51:K52)</f>
        <v>0</v>
      </c>
      <c r="L53" s="44">
        <f>SUM(L51:L52)</f>
        <v>0</v>
      </c>
      <c r="M53" s="44">
        <f>SUM(M51:M52)</f>
        <v>0</v>
      </c>
      <c r="N53" s="45" t="str">
        <f t="shared" si="1"/>
        <v/>
      </c>
      <c r="O53" s="50"/>
      <c r="P53" s="44">
        <f>SUM(P51:P52)</f>
        <v>0</v>
      </c>
      <c r="Q53" s="44"/>
      <c r="R53" s="44">
        <f>SUM(R51:R52)</f>
        <v>-150000</v>
      </c>
      <c r="S53" s="44">
        <f>SUM(S51:S52)</f>
        <v>-150000</v>
      </c>
      <c r="T53" s="45">
        <f t="shared" si="2"/>
        <v>1</v>
      </c>
      <c r="U53" s="50"/>
      <c r="V53" s="47">
        <f>SUM(V51:V52)</f>
        <v>0</v>
      </c>
      <c r="W53" s="47">
        <f>SUM(W51:W52)</f>
        <v>0</v>
      </c>
      <c r="X53" s="47">
        <f>SUM(X51:X52)</f>
        <v>0</v>
      </c>
      <c r="Y53" s="45" t="str">
        <f t="shared" si="3"/>
        <v/>
      </c>
      <c r="Z53" s="50"/>
      <c r="AA53" s="44">
        <f>SUM(AA51:AA52)</f>
        <v>0</v>
      </c>
      <c r="AB53" s="44">
        <f>SUM(AB51:AB52)</f>
        <v>0</v>
      </c>
      <c r="AC53" s="44">
        <f>SUM(AC51:AC52)</f>
        <v>0</v>
      </c>
      <c r="AD53" s="45" t="str">
        <f t="shared" si="5"/>
        <v/>
      </c>
    </row>
    <row r="54" spans="1:30" ht="15.75" x14ac:dyDescent="0.25">
      <c r="A54" s="9"/>
      <c r="B54" s="9"/>
      <c r="C54" s="9"/>
      <c r="D54" s="9"/>
      <c r="E54" s="21"/>
      <c r="F54" s="21"/>
      <c r="G54" s="21"/>
      <c r="H54" s="21"/>
      <c r="I54" s="28" t="str">
        <f t="shared" si="0"/>
        <v/>
      </c>
      <c r="J54" s="40"/>
      <c r="K54" s="21"/>
      <c r="L54" s="21"/>
      <c r="M54" s="21"/>
      <c r="N54" s="28" t="str">
        <f t="shared" si="1"/>
        <v/>
      </c>
      <c r="O54" s="40"/>
      <c r="P54" s="21"/>
      <c r="Q54" s="21"/>
      <c r="R54" s="21"/>
      <c r="S54" s="21"/>
      <c r="T54" s="28" t="str">
        <f t="shared" si="2"/>
        <v/>
      </c>
      <c r="U54" s="40"/>
      <c r="V54" s="40"/>
      <c r="W54" s="40"/>
      <c r="X54" s="40"/>
      <c r="Y54" s="28" t="str">
        <f t="shared" si="3"/>
        <v/>
      </c>
      <c r="Z54" s="40"/>
      <c r="AA54" s="21"/>
      <c r="AB54" s="21"/>
      <c r="AC54" s="21"/>
      <c r="AD54" s="28" t="str">
        <f t="shared" si="5"/>
        <v/>
      </c>
    </row>
    <row r="55" spans="1:30" ht="15.75" x14ac:dyDescent="0.25">
      <c r="A55" s="11" t="s">
        <v>171</v>
      </c>
      <c r="B55" s="9"/>
      <c r="C55" s="9"/>
      <c r="D55" s="9"/>
      <c r="E55" s="21">
        <f>E48+E53</f>
        <v>-10972.589999999982</v>
      </c>
      <c r="F55" s="21">
        <v>0</v>
      </c>
      <c r="G55" s="21">
        <f>G48+G53</f>
        <v>-25735.000000000116</v>
      </c>
      <c r="H55" s="21">
        <f>H48+H53</f>
        <v>-6097.9432742858771</v>
      </c>
      <c r="I55" s="28">
        <f t="shared" si="0"/>
        <v>4.2202754014654085</v>
      </c>
      <c r="J55" s="40"/>
      <c r="K55" s="21">
        <f>K48+K53</f>
        <v>4920</v>
      </c>
      <c r="L55" s="21">
        <f>L48+L53</f>
        <v>42272</v>
      </c>
      <c r="M55" s="21">
        <f>M48+M53</f>
        <v>0</v>
      </c>
      <c r="N55" s="28" t="str">
        <f t="shared" si="1"/>
        <v/>
      </c>
      <c r="O55" s="40"/>
      <c r="P55" s="21">
        <f>P48+P53</f>
        <v>0</v>
      </c>
      <c r="Q55" s="21"/>
      <c r="R55" s="21">
        <f>R48+R53</f>
        <v>0</v>
      </c>
      <c r="S55" s="21">
        <f>S48+S53</f>
        <v>0</v>
      </c>
      <c r="T55" s="28" t="str">
        <f t="shared" si="2"/>
        <v/>
      </c>
      <c r="U55" s="40"/>
      <c r="V55" s="21">
        <f>V48+V53</f>
        <v>0</v>
      </c>
      <c r="W55" s="21">
        <f>W48+W53</f>
        <v>0</v>
      </c>
      <c r="X55" s="21">
        <f>X48+X53</f>
        <v>0</v>
      </c>
      <c r="Y55" s="21"/>
      <c r="Z55" s="40"/>
      <c r="AA55" s="21">
        <f>E55+K55+P55+V55</f>
        <v>-6052.589999999982</v>
      </c>
      <c r="AB55" s="21">
        <f t="shared" ref="AB55:AC58" si="13">G55+L55+R55+W55</f>
        <v>16536.999999999884</v>
      </c>
      <c r="AC55" s="21">
        <f t="shared" si="13"/>
        <v>-6097.9432742858771</v>
      </c>
      <c r="AD55" s="28">
        <f t="shared" si="5"/>
        <v>-2.7118979721792362</v>
      </c>
    </row>
    <row r="56" spans="1:30" ht="15.75" x14ac:dyDescent="0.25">
      <c r="A56" s="9" t="s">
        <v>267</v>
      </c>
      <c r="B56" s="9"/>
      <c r="C56" s="9"/>
      <c r="D56" s="9"/>
      <c r="E56" s="21">
        <v>7304</v>
      </c>
      <c r="F56" s="21"/>
      <c r="G56" s="21">
        <v>7304</v>
      </c>
      <c r="H56" s="21">
        <v>7304</v>
      </c>
      <c r="I56" s="28"/>
      <c r="J56" s="40"/>
      <c r="K56" s="21"/>
      <c r="L56" s="21"/>
      <c r="M56" s="21"/>
      <c r="N56" s="28"/>
      <c r="O56" s="40"/>
      <c r="P56" s="21"/>
      <c r="Q56" s="21"/>
      <c r="R56" s="21"/>
      <c r="S56" s="21"/>
      <c r="T56" s="28"/>
      <c r="U56" s="40"/>
      <c r="V56" s="40"/>
      <c r="W56" s="40"/>
      <c r="X56" s="40"/>
      <c r="Y56" s="28"/>
      <c r="Z56" s="40"/>
      <c r="AA56" s="21">
        <f>E56+K56+P56+V56</f>
        <v>7304</v>
      </c>
      <c r="AB56" s="21">
        <f t="shared" si="13"/>
        <v>7304</v>
      </c>
      <c r="AC56" s="21">
        <f t="shared" si="13"/>
        <v>7304</v>
      </c>
      <c r="AD56" s="28"/>
    </row>
    <row r="57" spans="1:30" ht="15.75" x14ac:dyDescent="0.25">
      <c r="A57" s="9" t="s">
        <v>170</v>
      </c>
      <c r="B57" s="9"/>
      <c r="C57" s="9"/>
      <c r="D57" s="9"/>
      <c r="E57" s="6">
        <f>SUM('P&amp;L Mar 2023'!L78:S78)</f>
        <v>22589.589999999982</v>
      </c>
      <c r="F57" s="6">
        <v>0</v>
      </c>
      <c r="G57" s="6">
        <v>0</v>
      </c>
      <c r="H57" s="6">
        <f>G57</f>
        <v>0</v>
      </c>
      <c r="I57" s="28" t="str">
        <f t="shared" si="0"/>
        <v/>
      </c>
      <c r="J57" s="40"/>
      <c r="K57" s="6">
        <v>0</v>
      </c>
      <c r="L57" s="6">
        <v>0</v>
      </c>
      <c r="M57" s="6">
        <v>0</v>
      </c>
      <c r="N57" s="28" t="str">
        <f t="shared" si="1"/>
        <v/>
      </c>
      <c r="O57" s="40"/>
      <c r="P57" s="6"/>
      <c r="Q57" s="6"/>
      <c r="R57" s="6"/>
      <c r="S57" s="6"/>
      <c r="T57" s="28" t="str">
        <f t="shared" si="2"/>
        <v/>
      </c>
      <c r="U57" s="40"/>
      <c r="V57" s="43">
        <v>0</v>
      </c>
      <c r="W57" s="43">
        <v>0</v>
      </c>
      <c r="X57" s="43">
        <v>0</v>
      </c>
      <c r="Y57" s="28" t="str">
        <f t="shared" si="3"/>
        <v/>
      </c>
      <c r="Z57" s="40"/>
      <c r="AA57" s="6">
        <f>E57+K57+P57+V57</f>
        <v>22589.589999999982</v>
      </c>
      <c r="AB57" s="6">
        <f t="shared" si="13"/>
        <v>0</v>
      </c>
      <c r="AC57" s="6">
        <f t="shared" si="13"/>
        <v>0</v>
      </c>
      <c r="AD57" s="28" t="str">
        <f t="shared" si="5"/>
        <v/>
      </c>
    </row>
    <row r="58" spans="1:30" ht="15.75" x14ac:dyDescent="0.25">
      <c r="A58" s="9" t="s">
        <v>169</v>
      </c>
      <c r="B58" s="9"/>
      <c r="C58" s="9"/>
      <c r="D58" s="9"/>
      <c r="E58" s="21"/>
      <c r="F58" s="21"/>
      <c r="G58" s="21"/>
      <c r="H58" s="21">
        <f>G58</f>
        <v>0</v>
      </c>
      <c r="I58" s="28" t="str">
        <f t="shared" si="0"/>
        <v/>
      </c>
      <c r="J58" s="40"/>
      <c r="K58" s="21"/>
      <c r="L58" s="21"/>
      <c r="M58" s="21"/>
      <c r="N58" s="28" t="str">
        <f t="shared" si="1"/>
        <v/>
      </c>
      <c r="O58" s="40"/>
      <c r="P58" s="21"/>
      <c r="Q58" s="21"/>
      <c r="R58" s="21"/>
      <c r="S58" s="21"/>
      <c r="T58" s="28" t="str">
        <f t="shared" si="2"/>
        <v/>
      </c>
      <c r="U58" s="40"/>
      <c r="V58" s="40"/>
      <c r="W58" s="40"/>
      <c r="X58" s="40"/>
      <c r="Y58" s="28" t="str">
        <f t="shared" si="3"/>
        <v/>
      </c>
      <c r="Z58" s="40"/>
      <c r="AA58" s="21">
        <f>E58+K58+P58+V58</f>
        <v>0</v>
      </c>
      <c r="AB58" s="21">
        <f t="shared" si="13"/>
        <v>0</v>
      </c>
      <c r="AC58" s="21">
        <f t="shared" si="13"/>
        <v>0</v>
      </c>
      <c r="AD58" s="28" t="str">
        <f t="shared" si="5"/>
        <v/>
      </c>
    </row>
    <row r="59" spans="1:30" ht="15.75" x14ac:dyDescent="0.25">
      <c r="A59" s="11" t="s">
        <v>168</v>
      </c>
      <c r="B59" s="9"/>
      <c r="C59" s="9"/>
      <c r="D59" s="9"/>
      <c r="E59" s="44">
        <f>SUM(E56:E58)</f>
        <v>29893.589999999982</v>
      </c>
      <c r="F59" s="44">
        <f t="shared" ref="F59:H59" si="14">SUM(F56:F58)</f>
        <v>0</v>
      </c>
      <c r="G59" s="44">
        <f t="shared" si="14"/>
        <v>7304</v>
      </c>
      <c r="H59" s="44">
        <f t="shared" si="14"/>
        <v>7304</v>
      </c>
      <c r="I59" s="45">
        <f t="shared" si="0"/>
        <v>1</v>
      </c>
      <c r="J59" s="50"/>
      <c r="K59" s="44">
        <f t="shared" ref="K59" si="15">SUM(K56:K58)</f>
        <v>0</v>
      </c>
      <c r="L59" s="44">
        <f t="shared" ref="L59" si="16">SUM(L56:L58)</f>
        <v>0</v>
      </c>
      <c r="M59" s="44">
        <f t="shared" ref="M59" si="17">SUM(M56:M58)</f>
        <v>0</v>
      </c>
      <c r="N59" s="45" t="str">
        <f t="shared" si="1"/>
        <v/>
      </c>
      <c r="O59" s="50"/>
      <c r="P59" s="44">
        <f t="shared" ref="P59" si="18">SUM(P56:P58)</f>
        <v>0</v>
      </c>
      <c r="Q59" s="44">
        <f t="shared" ref="Q59" si="19">SUM(Q56:Q58)</f>
        <v>0</v>
      </c>
      <c r="R59" s="44">
        <f t="shared" ref="R59" si="20">SUM(R56:R58)</f>
        <v>0</v>
      </c>
      <c r="S59" s="44">
        <f t="shared" ref="S59" si="21">SUM(S56:S58)</f>
        <v>0</v>
      </c>
      <c r="T59" s="45" t="str">
        <f t="shared" si="2"/>
        <v/>
      </c>
      <c r="U59" s="50"/>
      <c r="V59" s="44">
        <f t="shared" ref="V59" si="22">SUM(V56:V58)</f>
        <v>0</v>
      </c>
      <c r="W59" s="44">
        <f t="shared" ref="W59" si="23">SUM(W56:W58)</f>
        <v>0</v>
      </c>
      <c r="X59" s="44">
        <f t="shared" ref="X59" si="24">SUM(X56:X58)</f>
        <v>0</v>
      </c>
      <c r="Y59" s="45" t="str">
        <f t="shared" si="3"/>
        <v/>
      </c>
      <c r="Z59" s="50"/>
      <c r="AA59" s="44">
        <f t="shared" ref="AA59" si="25">SUM(AA56:AA58)</f>
        <v>29893.589999999982</v>
      </c>
      <c r="AB59" s="44">
        <f t="shared" ref="AB59" si="26">SUM(AB56:AB58)</f>
        <v>7304</v>
      </c>
      <c r="AC59" s="44">
        <f t="shared" ref="AC59" si="27">SUM(AC56:AC58)</f>
        <v>7304</v>
      </c>
      <c r="AD59" s="45">
        <f t="shared" si="5"/>
        <v>1</v>
      </c>
    </row>
    <row r="60" spans="1:30" ht="15.75" x14ac:dyDescent="0.25">
      <c r="A60" s="9"/>
      <c r="B60" s="9"/>
      <c r="C60" s="9"/>
      <c r="D60" s="9"/>
      <c r="E60" s="21"/>
      <c r="F60" s="21"/>
      <c r="G60" s="21"/>
      <c r="H60" s="21"/>
      <c r="I60" s="28" t="str">
        <f t="shared" si="0"/>
        <v/>
      </c>
      <c r="J60" s="40"/>
      <c r="K60" s="21"/>
      <c r="L60" s="21"/>
      <c r="M60" s="21"/>
      <c r="N60" s="28" t="str">
        <f t="shared" si="1"/>
        <v/>
      </c>
      <c r="O60" s="40"/>
      <c r="P60" s="21"/>
      <c r="Q60" s="21"/>
      <c r="R60" s="21"/>
      <c r="S60" s="21"/>
      <c r="T60" s="28" t="str">
        <f t="shared" si="2"/>
        <v/>
      </c>
      <c r="U60" s="40"/>
      <c r="V60" s="40"/>
      <c r="W60" s="40"/>
      <c r="X60" s="40"/>
      <c r="Y60" s="28" t="str">
        <f t="shared" si="3"/>
        <v/>
      </c>
      <c r="Z60" s="40"/>
      <c r="AA60" s="21"/>
      <c r="AB60" s="21"/>
      <c r="AC60" s="21"/>
      <c r="AD60" s="28" t="str">
        <f t="shared" si="5"/>
        <v/>
      </c>
    </row>
    <row r="61" spans="1:30" ht="16.5" thickBot="1" x14ac:dyDescent="0.3">
      <c r="A61" s="11" t="s">
        <v>167</v>
      </c>
      <c r="B61" s="9"/>
      <c r="C61" s="9"/>
      <c r="D61" s="9"/>
      <c r="E61" s="53">
        <f>E59+E55</f>
        <v>18921</v>
      </c>
      <c r="F61" s="53"/>
      <c r="G61" s="53">
        <f>G59+G55</f>
        <v>-18431.000000000116</v>
      </c>
      <c r="H61" s="53">
        <f>H59+H55</f>
        <v>1206.0567257141229</v>
      </c>
      <c r="I61" s="54">
        <f t="shared" si="0"/>
        <v>-15.282034092622688</v>
      </c>
      <c r="J61" s="50"/>
      <c r="K61" s="53">
        <f>K59+K55</f>
        <v>4920</v>
      </c>
      <c r="L61" s="53">
        <f>L59+L55</f>
        <v>42272</v>
      </c>
      <c r="M61" s="53">
        <f>M59+M55</f>
        <v>0</v>
      </c>
      <c r="N61" s="54" t="str">
        <f t="shared" si="1"/>
        <v/>
      </c>
      <c r="O61" s="50"/>
      <c r="P61" s="53">
        <f>P59+P55</f>
        <v>0</v>
      </c>
      <c r="Q61" s="53"/>
      <c r="R61" s="53">
        <f>R59+R55</f>
        <v>0</v>
      </c>
      <c r="S61" s="53">
        <f>S59+S55</f>
        <v>0</v>
      </c>
      <c r="T61" s="54" t="str">
        <f t="shared" si="2"/>
        <v/>
      </c>
      <c r="U61" s="50"/>
      <c r="V61" s="55">
        <f>V59+V55</f>
        <v>0</v>
      </c>
      <c r="W61" s="55">
        <f>W59+W55</f>
        <v>0</v>
      </c>
      <c r="X61" s="55">
        <f>X59+X55</f>
        <v>0</v>
      </c>
      <c r="Y61" s="54" t="str">
        <f t="shared" si="3"/>
        <v/>
      </c>
      <c r="Z61" s="50"/>
      <c r="AA61" s="53">
        <f>AA59+AA55</f>
        <v>23841</v>
      </c>
      <c r="AB61" s="53">
        <f>AB59+AB55</f>
        <v>23840.999999999884</v>
      </c>
      <c r="AC61" s="53">
        <f>AC59+AC55</f>
        <v>1206.0567257141229</v>
      </c>
      <c r="AD61" s="54">
        <f t="shared" si="5"/>
        <v>19.76772691672798</v>
      </c>
    </row>
    <row r="62" spans="1:30" ht="16.5" thickTop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105"/>
      <c r="AB62" s="9"/>
      <c r="AC62" s="9"/>
      <c r="AD62" s="9"/>
    </row>
    <row r="63" spans="1:30" x14ac:dyDescent="0.25">
      <c r="G63" s="23"/>
      <c r="AB63" s="81"/>
    </row>
    <row r="64" spans="1:30" x14ac:dyDescent="0.25">
      <c r="B64" s="7" t="s">
        <v>166</v>
      </c>
      <c r="L64" s="56"/>
      <c r="AB64" s="56"/>
    </row>
    <row r="65" spans="5:28" x14ac:dyDescent="0.25">
      <c r="E65" s="8"/>
      <c r="AB65" s="56"/>
    </row>
    <row r="66" spans="5:28" x14ac:dyDescent="0.25">
      <c r="E66" s="81"/>
      <c r="AB66" s="56"/>
    </row>
    <row r="68" spans="5:28" x14ac:dyDescent="0.25">
      <c r="AB68" s="56"/>
    </row>
  </sheetData>
  <mergeCells count="9">
    <mergeCell ref="V9:Y9"/>
    <mergeCell ref="AA9:AD9"/>
    <mergeCell ref="E9:I9"/>
    <mergeCell ref="K9:N9"/>
    <mergeCell ref="E1:N1"/>
    <mergeCell ref="E2:N2"/>
    <mergeCell ref="E3:N3"/>
    <mergeCell ref="E4:N4"/>
    <mergeCell ref="P9:T9"/>
  </mergeCells>
  <printOptions headings="1"/>
  <pageMargins left="0.25" right="0.25" top="0.75" bottom="0.75" header="0.3" footer="0.3"/>
  <pageSetup scale="43" fitToWidth="2" orientation="landscape" r:id="rId1"/>
  <headerFooter>
    <oddFooter>&amp;L&amp;"Times New Roman,Bold"&amp;12&amp;A&amp;R&amp;"Times New Roman,Bold"&amp;12&amp;P of &amp;N</oddFooter>
  </headerFooter>
  <colBreaks count="2" manualBreakCount="2">
    <brk id="4" max="62" man="1"/>
    <brk id="21" max="63" man="1"/>
  </colBreaks>
  <ignoredErrors>
    <ignoredError sqref="W37 AA3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814FD-8624-499A-B72D-0022C17E90BA}">
  <sheetPr codeName="Sheet2">
    <pageSetUpPr fitToPage="1"/>
  </sheetPr>
  <dimension ref="A1:N36"/>
  <sheetViews>
    <sheetView showGridLines="0" zoomScaleNormal="100" workbookViewId="0">
      <selection activeCell="B1" sqref="B1"/>
    </sheetView>
  </sheetViews>
  <sheetFormatPr defaultColWidth="9.140625" defaultRowHeight="15" x14ac:dyDescent="0.25"/>
  <cols>
    <col min="1" max="4" width="2.7109375" style="67" customWidth="1"/>
    <col min="5" max="5" width="39.85546875" style="67" bestFit="1" customWidth="1"/>
    <col min="6" max="6" width="11.28515625" style="7" bestFit="1" customWidth="1"/>
    <col min="7" max="7" width="9.140625" style="7"/>
    <col min="8" max="10" width="0" style="7" hidden="1" customWidth="1"/>
    <col min="11" max="11" width="9.140625" style="7"/>
    <col min="12" max="12" width="9.140625" style="66"/>
    <col min="13" max="16384" width="9.140625" style="7"/>
  </cols>
  <sheetData>
    <row r="1" spans="1:12" ht="15.75" thickBot="1" x14ac:dyDescent="0.3">
      <c r="A1" s="64" t="s">
        <v>94</v>
      </c>
      <c r="B1" s="64"/>
      <c r="C1" s="64"/>
      <c r="D1" s="64"/>
      <c r="E1" s="64"/>
      <c r="F1" s="62" t="s">
        <v>279</v>
      </c>
    </row>
    <row r="2" spans="1:12" ht="15.75" thickTop="1" x14ac:dyDescent="0.25">
      <c r="A2" s="64"/>
      <c r="B2" s="64" t="s">
        <v>95</v>
      </c>
      <c r="C2" s="64"/>
      <c r="D2" s="64"/>
      <c r="E2" s="64"/>
      <c r="F2" s="65"/>
    </row>
    <row r="3" spans="1:12" x14ac:dyDescent="0.25">
      <c r="A3" s="64"/>
      <c r="B3" s="64"/>
      <c r="C3" s="64" t="s">
        <v>96</v>
      </c>
      <c r="D3" s="64"/>
      <c r="E3" s="64"/>
      <c r="F3" s="65"/>
    </row>
    <row r="4" spans="1:12" ht="15.75" thickBot="1" x14ac:dyDescent="0.3">
      <c r="A4" s="64"/>
      <c r="B4" s="64"/>
      <c r="C4" s="64"/>
      <c r="D4" s="64" t="s">
        <v>7</v>
      </c>
      <c r="E4" s="64"/>
      <c r="F4" s="93">
        <v>71797.259999999995</v>
      </c>
    </row>
    <row r="5" spans="1:12" x14ac:dyDescent="0.25">
      <c r="A5" s="64"/>
      <c r="B5" s="64"/>
      <c r="C5" s="64" t="s">
        <v>97</v>
      </c>
      <c r="D5" s="64"/>
      <c r="E5" s="64"/>
      <c r="F5" s="78">
        <f>ROUND(SUM(F3:F4),5)</f>
        <v>71797.259999999995</v>
      </c>
      <c r="L5" s="66">
        <v>1110</v>
      </c>
    </row>
    <row r="6" spans="1:12" hidden="1" x14ac:dyDescent="0.25">
      <c r="A6" s="64"/>
      <c r="B6" s="64"/>
      <c r="C6" s="64" t="s">
        <v>227</v>
      </c>
      <c r="D6" s="64"/>
      <c r="E6" s="64"/>
      <c r="F6" s="78"/>
    </row>
    <row r="7" spans="1:12" ht="15.75" hidden="1" thickBot="1" x14ac:dyDescent="0.3">
      <c r="A7" s="64"/>
      <c r="B7" s="64"/>
      <c r="C7" s="64"/>
      <c r="D7" s="64" t="s">
        <v>241</v>
      </c>
      <c r="E7" s="64"/>
      <c r="F7" s="93">
        <v>0</v>
      </c>
    </row>
    <row r="8" spans="1:12" hidden="1" x14ac:dyDescent="0.25">
      <c r="A8" s="64"/>
      <c r="B8" s="64"/>
      <c r="C8" s="64" t="s">
        <v>242</v>
      </c>
      <c r="D8" s="64"/>
      <c r="E8" s="64"/>
      <c r="F8" s="78">
        <f>ROUND(SUM(F6:F7),5)</f>
        <v>0</v>
      </c>
      <c r="L8" s="66" t="s">
        <v>143</v>
      </c>
    </row>
    <row r="9" spans="1:12" x14ac:dyDescent="0.25">
      <c r="A9" s="64"/>
      <c r="B9" s="64"/>
      <c r="C9" s="64" t="s">
        <v>98</v>
      </c>
      <c r="D9" s="64"/>
      <c r="E9" s="64"/>
      <c r="F9" s="78"/>
    </row>
    <row r="10" spans="1:12" x14ac:dyDescent="0.25">
      <c r="A10" s="64"/>
      <c r="B10" s="64"/>
      <c r="C10" s="64"/>
      <c r="D10" s="64" t="s">
        <v>254</v>
      </c>
      <c r="E10" s="64"/>
      <c r="F10" s="78">
        <v>42272</v>
      </c>
    </row>
    <row r="11" spans="1:12" s="67" customFormat="1" ht="15.75" thickBot="1" x14ac:dyDescent="0.3">
      <c r="A11" s="64"/>
      <c r="B11" s="64"/>
      <c r="C11" s="64"/>
      <c r="D11" s="64" t="s">
        <v>8</v>
      </c>
      <c r="E11" s="64"/>
      <c r="F11" s="78">
        <v>29950</v>
      </c>
      <c r="L11" s="68"/>
    </row>
    <row r="12" spans="1:12" s="67" customFormat="1" ht="15.75" thickBot="1" x14ac:dyDescent="0.3">
      <c r="A12" s="64"/>
      <c r="B12" s="64"/>
      <c r="C12" s="64" t="s">
        <v>99</v>
      </c>
      <c r="D12" s="64"/>
      <c r="E12" s="64"/>
      <c r="F12" s="94">
        <f>ROUND(SUM(F9:F11),5)</f>
        <v>72222</v>
      </c>
      <c r="L12" s="66" t="s">
        <v>143</v>
      </c>
    </row>
    <row r="13" spans="1:12" ht="15.75" thickBot="1" x14ac:dyDescent="0.3">
      <c r="A13" s="64"/>
      <c r="B13" s="64" t="s">
        <v>100</v>
      </c>
      <c r="C13" s="64"/>
      <c r="D13" s="64"/>
      <c r="E13" s="64"/>
      <c r="F13" s="94">
        <f>ROUND(F2+F5+F8+F12,5)</f>
        <v>144019.26</v>
      </c>
    </row>
    <row r="14" spans="1:12" s="67" customFormat="1" thickBot="1" x14ac:dyDescent="0.25">
      <c r="A14" s="64" t="s">
        <v>101</v>
      </c>
      <c r="B14" s="64"/>
      <c r="C14" s="64"/>
      <c r="D14" s="64"/>
      <c r="E14" s="64"/>
      <c r="F14" s="95">
        <f>ROUND(F13,5)</f>
        <v>144019.26</v>
      </c>
      <c r="L14" s="68"/>
    </row>
    <row r="15" spans="1:12" ht="15.75" thickTop="1" x14ac:dyDescent="0.25">
      <c r="A15" s="64" t="s">
        <v>102</v>
      </c>
      <c r="B15" s="64"/>
      <c r="C15" s="64"/>
      <c r="D15" s="64"/>
      <c r="E15" s="64"/>
      <c r="F15" s="78"/>
    </row>
    <row r="16" spans="1:12" hidden="1" x14ac:dyDescent="0.25">
      <c r="A16" s="64"/>
      <c r="B16" s="64" t="s">
        <v>103</v>
      </c>
      <c r="C16" s="64"/>
      <c r="D16" s="64"/>
      <c r="E16" s="64"/>
      <c r="F16" s="78"/>
    </row>
    <row r="17" spans="1:14" x14ac:dyDescent="0.25">
      <c r="A17" s="64"/>
      <c r="B17" s="64"/>
      <c r="C17" s="64" t="s">
        <v>104</v>
      </c>
      <c r="D17" s="64"/>
      <c r="E17" s="64"/>
      <c r="F17" s="78"/>
    </row>
    <row r="18" spans="1:14" x14ac:dyDescent="0.25">
      <c r="A18" s="64"/>
      <c r="B18" s="64"/>
      <c r="C18" s="64"/>
      <c r="D18" s="64" t="s">
        <v>105</v>
      </c>
      <c r="E18" s="64"/>
      <c r="F18" s="78"/>
    </row>
    <row r="19" spans="1:14" ht="15.75" thickBot="1" x14ac:dyDescent="0.3">
      <c r="A19" s="64"/>
      <c r="B19" s="64"/>
      <c r="C19" s="64"/>
      <c r="D19" s="64"/>
      <c r="E19" s="64" t="s">
        <v>9</v>
      </c>
      <c r="F19" s="93">
        <v>51441.84</v>
      </c>
      <c r="L19" s="66">
        <v>2120</v>
      </c>
    </row>
    <row r="20" spans="1:14" x14ac:dyDescent="0.25">
      <c r="A20" s="64"/>
      <c r="B20" s="64"/>
      <c r="C20" s="64"/>
      <c r="D20" s="64" t="s">
        <v>106</v>
      </c>
      <c r="E20" s="64"/>
      <c r="F20" s="78">
        <f>ROUND(SUM(F18:F19),5)</f>
        <v>51441.84</v>
      </c>
    </row>
    <row r="21" spans="1:14" x14ac:dyDescent="0.25">
      <c r="A21" s="64"/>
      <c r="B21" s="64"/>
      <c r="C21" s="64"/>
      <c r="D21" s="64" t="s">
        <v>107</v>
      </c>
      <c r="E21" s="64"/>
      <c r="F21" s="78"/>
    </row>
    <row r="22" spans="1:14" x14ac:dyDescent="0.25">
      <c r="A22" s="64"/>
      <c r="B22" s="64"/>
      <c r="C22" s="64"/>
      <c r="D22" s="64"/>
      <c r="E22" s="64" t="s">
        <v>10</v>
      </c>
      <c r="F22" s="78">
        <v>466.46</v>
      </c>
      <c r="L22" s="63" t="s">
        <v>151</v>
      </c>
      <c r="N22" s="7" t="s">
        <v>121</v>
      </c>
    </row>
    <row r="23" spans="1:14" x14ac:dyDescent="0.25">
      <c r="A23" s="64"/>
      <c r="B23" s="64"/>
      <c r="C23" s="64"/>
      <c r="D23" s="64"/>
      <c r="E23" s="64" t="s">
        <v>11</v>
      </c>
      <c r="F23" s="78">
        <v>4979.17</v>
      </c>
      <c r="L23" s="63" t="s">
        <v>151</v>
      </c>
    </row>
    <row r="24" spans="1:14" x14ac:dyDescent="0.25">
      <c r="A24" s="64"/>
      <c r="B24" s="64"/>
      <c r="C24" s="64"/>
      <c r="D24" s="64"/>
      <c r="E24" s="64" t="s">
        <v>12</v>
      </c>
      <c r="F24" s="78">
        <v>513.96</v>
      </c>
      <c r="L24" s="63" t="s">
        <v>151</v>
      </c>
    </row>
    <row r="25" spans="1:14" x14ac:dyDescent="0.25">
      <c r="A25" s="64"/>
      <c r="B25" s="64"/>
      <c r="C25" s="64"/>
      <c r="D25" s="64"/>
      <c r="E25" s="64" t="s">
        <v>13</v>
      </c>
      <c r="F25" s="78">
        <v>63186.42</v>
      </c>
      <c r="L25" s="63" t="s">
        <v>151</v>
      </c>
    </row>
    <row r="26" spans="1:14" ht="15.75" thickBot="1" x14ac:dyDescent="0.3">
      <c r="A26" s="64"/>
      <c r="B26" s="64"/>
      <c r="C26" s="64"/>
      <c r="D26" s="64"/>
      <c r="E26" s="64" t="s">
        <v>14</v>
      </c>
      <c r="F26" s="78">
        <v>-410</v>
      </c>
      <c r="L26" s="63" t="s">
        <v>151</v>
      </c>
    </row>
    <row r="27" spans="1:14" ht="15.75" thickBot="1" x14ac:dyDescent="0.3">
      <c r="A27" s="64"/>
      <c r="B27" s="64"/>
      <c r="C27" s="64"/>
      <c r="D27" s="64" t="s">
        <v>108</v>
      </c>
      <c r="E27" s="64"/>
      <c r="F27" s="94">
        <f>ROUND(SUM(F21:F26),5)</f>
        <v>68736.009999999995</v>
      </c>
      <c r="L27" s="63"/>
    </row>
    <row r="28" spans="1:14" ht="15.75" thickBot="1" x14ac:dyDescent="0.3">
      <c r="A28" s="64"/>
      <c r="B28" s="64"/>
      <c r="C28" s="64" t="s">
        <v>109</v>
      </c>
      <c r="D28" s="64"/>
      <c r="E28" s="64"/>
      <c r="F28" s="96">
        <f>ROUND(F17+F20+F27,5)</f>
        <v>120177.85</v>
      </c>
    </row>
    <row r="29" spans="1:14" x14ac:dyDescent="0.25">
      <c r="A29" s="64"/>
      <c r="B29" s="64" t="s">
        <v>110</v>
      </c>
      <c r="C29" s="64"/>
      <c r="D29" s="64"/>
      <c r="E29" s="64"/>
      <c r="F29" s="78">
        <f>ROUND(F16+F28,5)</f>
        <v>120177.85</v>
      </c>
    </row>
    <row r="30" spans="1:14" x14ac:dyDescent="0.25">
      <c r="A30" s="64"/>
      <c r="B30" s="64" t="s">
        <v>111</v>
      </c>
      <c r="C30" s="64"/>
      <c r="D30" s="64"/>
      <c r="E30" s="64"/>
      <c r="F30" s="78"/>
    </row>
    <row r="31" spans="1:14" s="67" customFormat="1" x14ac:dyDescent="0.25">
      <c r="A31" s="64"/>
      <c r="B31" s="64"/>
      <c r="C31" s="67" t="s">
        <v>268</v>
      </c>
      <c r="D31" s="64"/>
      <c r="E31" s="64"/>
      <c r="F31" s="97">
        <v>47152.89</v>
      </c>
      <c r="L31" s="68"/>
    </row>
    <row r="32" spans="1:14" s="67" customFormat="1" ht="15.75" thickBot="1" x14ac:dyDescent="0.3">
      <c r="A32" s="64"/>
      <c r="B32" s="64"/>
      <c r="C32" s="64" t="s">
        <v>112</v>
      </c>
      <c r="D32" s="64"/>
      <c r="E32" s="64"/>
      <c r="F32" s="97">
        <f>SUM('P&amp;L Mar 2023'!R78:T78)</f>
        <v>-23311.47</v>
      </c>
      <c r="L32" s="68"/>
    </row>
    <row r="33" spans="1:12" s="67" customFormat="1" ht="15.75" thickBot="1" x14ac:dyDescent="0.3">
      <c r="A33" s="64"/>
      <c r="B33" s="64" t="s">
        <v>113</v>
      </c>
      <c r="C33" s="64"/>
      <c r="D33" s="64"/>
      <c r="E33" s="64"/>
      <c r="F33" s="94">
        <f>ROUND(SUM(F30:F32),5)</f>
        <v>23841.42</v>
      </c>
      <c r="L33" s="68"/>
    </row>
    <row r="34" spans="1:12" s="67" customFormat="1" thickBot="1" x14ac:dyDescent="0.25">
      <c r="A34" s="64" t="s">
        <v>114</v>
      </c>
      <c r="B34" s="64"/>
      <c r="C34" s="64"/>
      <c r="D34" s="64"/>
      <c r="E34" s="64"/>
      <c r="F34" s="95">
        <f>ROUND(F15+F29+F33,5)</f>
        <v>144019.26999999999</v>
      </c>
      <c r="L34" s="68"/>
    </row>
    <row r="35" spans="1:12" ht="15.75" thickTop="1" x14ac:dyDescent="0.25"/>
    <row r="36" spans="1:12" s="67" customFormat="1" x14ac:dyDescent="0.25">
      <c r="F36" s="56"/>
      <c r="L36" s="68"/>
    </row>
  </sheetData>
  <pageMargins left="0.25" right="0.25" top="0.95833333333333337" bottom="0.75" header="0.3" footer="0.3"/>
  <pageSetup fitToHeight="0" orientation="landscape" r:id="rId1"/>
  <headerFooter>
    <oddHeader xml:space="preserve">&amp;C&amp;"Times New Roman,Bold"&amp;14BPA FINANCIAL STATEMENTS AND BUDGET PROJECTIONS
MARCH 2023
</oddHeader>
    <oddFooter>&amp;L&amp;"Times New Roman,Bold"&amp;12&amp;A&amp;R&amp;"Times New Roman,Bold"&amp;12&amp;P of &amp;N</oddFooter>
  </headerFooter>
  <drawing r:id="rId2"/>
  <legacyDrawing r:id="rId3"/>
  <controls>
    <mc:AlternateContent xmlns:mc="http://schemas.openxmlformats.org/markup-compatibility/2006">
      <mc:Choice Requires="x14">
        <control shapeId="717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190500</xdr:colOff>
                <xdr:row>1</xdr:row>
                <xdr:rowOff>28575</xdr:rowOff>
              </to>
            </anchor>
          </controlPr>
        </control>
      </mc:Choice>
      <mc:Fallback>
        <control shapeId="7170" r:id="rId4" name="HEADER"/>
      </mc:Fallback>
    </mc:AlternateContent>
    <mc:AlternateContent xmlns:mc="http://schemas.openxmlformats.org/markup-compatibility/2006">
      <mc:Choice Requires="x14">
        <control shapeId="716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190500</xdr:colOff>
                <xdr:row>1</xdr:row>
                <xdr:rowOff>28575</xdr:rowOff>
              </to>
            </anchor>
          </controlPr>
        </control>
      </mc:Choice>
      <mc:Fallback>
        <control shapeId="7169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C6D4C-40F7-4AB8-956D-E685D0F6B2F3}">
  <sheetPr codeName="Sheet3">
    <pageSetUpPr fitToPage="1"/>
  </sheetPr>
  <dimension ref="A1:AE97"/>
  <sheetViews>
    <sheetView showGridLines="0" zoomScaleNormal="100" workbookViewId="0">
      <pane xSplit="5" ySplit="1" topLeftCell="M40" activePane="bottomRight" state="frozenSplit"/>
      <selection activeCell="C12" sqref="C12"/>
      <selection pane="topRight" activeCell="C12" sqref="C12"/>
      <selection pane="bottomLeft" activeCell="C12" sqref="C12"/>
      <selection pane="bottomRight" activeCell="O83" sqref="O83"/>
    </sheetView>
  </sheetViews>
  <sheetFormatPr defaultColWidth="9.140625" defaultRowHeight="15" x14ac:dyDescent="0.25"/>
  <cols>
    <col min="1" max="1" width="2.7109375" style="67" hidden="1" customWidth="1"/>
    <col min="2" max="4" width="2.7109375" style="67" customWidth="1"/>
    <col min="5" max="5" width="43.7109375" style="67" bestFit="1" customWidth="1"/>
    <col min="6" max="6" width="11.7109375" style="7" hidden="1" customWidth="1"/>
    <col min="7" max="7" width="11" style="7" hidden="1" customWidth="1"/>
    <col min="8" max="8" width="11.42578125" style="7" hidden="1" customWidth="1"/>
    <col min="9" max="9" width="11.28515625" style="7" hidden="1" customWidth="1"/>
    <col min="10" max="10" width="11.5703125" style="7" hidden="1" customWidth="1"/>
    <col min="11" max="11" width="10.85546875" style="7" hidden="1" customWidth="1"/>
    <col min="12" max="14" width="12.85546875" style="7" bestFit="1" customWidth="1"/>
    <col min="15" max="15" width="13.7109375" style="7" bestFit="1" customWidth="1"/>
    <col min="16" max="18" width="12.7109375" style="7" bestFit="1" customWidth="1"/>
    <col min="19" max="19" width="12.5703125" style="7" customWidth="1"/>
    <col min="20" max="20" width="13.42578125" style="7" customWidth="1"/>
    <col min="21" max="23" width="5.42578125" style="7" hidden="1" customWidth="1"/>
    <col min="24" max="24" width="12.7109375" style="7" bestFit="1" customWidth="1"/>
    <col min="25" max="26" width="9.140625" style="7"/>
    <col min="27" max="27" width="11.7109375" style="7" customWidth="1"/>
    <col min="28" max="28" width="9.140625" style="7"/>
    <col min="29" max="29" width="34.7109375" style="67" customWidth="1"/>
    <col min="30" max="16384" width="9.140625" style="7"/>
  </cols>
  <sheetData>
    <row r="1" spans="1:29" s="63" customFormat="1" ht="15.75" thickBot="1" x14ac:dyDescent="0.3">
      <c r="A1" s="61"/>
      <c r="B1" s="61"/>
      <c r="C1" s="61"/>
      <c r="D1" s="61"/>
      <c r="E1" s="61"/>
      <c r="F1" s="62" t="s">
        <v>232</v>
      </c>
      <c r="G1" s="62" t="s">
        <v>233</v>
      </c>
      <c r="H1" s="62" t="s">
        <v>234</v>
      </c>
      <c r="I1" s="62" t="s">
        <v>235</v>
      </c>
      <c r="J1" s="62" t="s">
        <v>236</v>
      </c>
      <c r="K1" s="62" t="s">
        <v>237</v>
      </c>
      <c r="L1" s="62" t="s">
        <v>238</v>
      </c>
      <c r="M1" s="62" t="s">
        <v>239</v>
      </c>
      <c r="N1" s="62" t="s">
        <v>240</v>
      </c>
      <c r="O1" s="62" t="s">
        <v>93</v>
      </c>
      <c r="P1" s="62" t="s">
        <v>228</v>
      </c>
      <c r="Q1" s="62" t="s">
        <v>247</v>
      </c>
      <c r="R1" s="62" t="s">
        <v>262</v>
      </c>
      <c r="S1" s="62" t="s">
        <v>271</v>
      </c>
      <c r="T1" s="62" t="s">
        <v>279</v>
      </c>
      <c r="U1" s="62"/>
      <c r="V1" s="62"/>
      <c r="W1" s="62"/>
      <c r="X1" s="62" t="s">
        <v>129</v>
      </c>
      <c r="AA1" s="61"/>
      <c r="AC1" s="61"/>
    </row>
    <row r="2" spans="1:29" ht="15.75" thickTop="1" x14ac:dyDescent="0.25">
      <c r="A2" s="64"/>
      <c r="B2" s="64" t="s">
        <v>115</v>
      </c>
      <c r="C2" s="64"/>
      <c r="D2" s="64"/>
      <c r="E2" s="64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AA2" s="65"/>
      <c r="AC2" s="64"/>
    </row>
    <row r="3" spans="1:29" x14ac:dyDescent="0.25">
      <c r="A3" s="64"/>
      <c r="B3" s="64"/>
      <c r="C3" s="64" t="s">
        <v>116</v>
      </c>
      <c r="D3" s="64"/>
      <c r="E3" s="64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AA3" s="65"/>
      <c r="AC3" s="64"/>
    </row>
    <row r="4" spans="1:29" x14ac:dyDescent="0.25">
      <c r="A4" s="64"/>
      <c r="B4" s="64"/>
      <c r="C4" s="64"/>
      <c r="D4" s="64" t="s">
        <v>15</v>
      </c>
      <c r="E4" s="64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AA4" s="65"/>
      <c r="AC4" s="64"/>
    </row>
    <row r="5" spans="1:29" x14ac:dyDescent="0.25">
      <c r="A5" s="64"/>
      <c r="B5" s="64"/>
      <c r="C5" s="64"/>
      <c r="D5" s="64"/>
      <c r="E5" s="64" t="s">
        <v>16</v>
      </c>
      <c r="F5" s="79">
        <v>0</v>
      </c>
      <c r="G5" s="79">
        <v>0</v>
      </c>
      <c r="H5" s="79">
        <v>0</v>
      </c>
      <c r="I5" s="79">
        <v>0</v>
      </c>
      <c r="J5" s="79">
        <v>0</v>
      </c>
      <c r="K5" s="79">
        <v>0</v>
      </c>
      <c r="L5" s="74">
        <v>64606</v>
      </c>
      <c r="M5" s="74">
        <v>64606</v>
      </c>
      <c r="N5" s="74">
        <v>64606</v>
      </c>
      <c r="O5" s="74">
        <v>64606</v>
      </c>
      <c r="P5" s="74">
        <v>64606</v>
      </c>
      <c r="Q5" s="74">
        <v>69855</v>
      </c>
      <c r="R5" s="74">
        <v>69855</v>
      </c>
      <c r="S5" s="74">
        <v>73911</v>
      </c>
      <c r="T5" s="74">
        <v>73911</v>
      </c>
      <c r="U5" s="74"/>
      <c r="V5" s="74"/>
      <c r="W5" s="74"/>
      <c r="X5" s="74">
        <f>ROUND(SUM(L5:W5),5)</f>
        <v>610562</v>
      </c>
      <c r="AA5" s="65" t="str">
        <f t="shared" ref="AA5:AA30" si="0">LEFT(E5,7)</f>
        <v>4310010</v>
      </c>
      <c r="AB5" s="7">
        <v>3310</v>
      </c>
      <c r="AC5" s="64" t="s">
        <v>16</v>
      </c>
    </row>
    <row r="6" spans="1:29" x14ac:dyDescent="0.25">
      <c r="A6" s="64"/>
      <c r="B6" s="64"/>
      <c r="C6" s="64"/>
      <c r="D6" s="64"/>
      <c r="E6" s="64" t="s">
        <v>17</v>
      </c>
      <c r="F6" s="79">
        <v>0</v>
      </c>
      <c r="G6" s="79">
        <v>0</v>
      </c>
      <c r="H6" s="79">
        <v>0</v>
      </c>
      <c r="I6" s="79">
        <v>0</v>
      </c>
      <c r="J6" s="79">
        <v>0</v>
      </c>
      <c r="K6" s="79">
        <v>0</v>
      </c>
      <c r="L6" s="74">
        <v>795</v>
      </c>
      <c r="M6" s="74">
        <v>795</v>
      </c>
      <c r="N6" s="74">
        <v>795</v>
      </c>
      <c r="O6" s="74">
        <v>795</v>
      </c>
      <c r="P6" s="74">
        <v>795</v>
      </c>
      <c r="Q6" s="74">
        <v>860</v>
      </c>
      <c r="R6" s="74">
        <v>860</v>
      </c>
      <c r="S6" s="74">
        <v>855</v>
      </c>
      <c r="T6" s="74">
        <v>855</v>
      </c>
      <c r="U6" s="74"/>
      <c r="V6" s="74"/>
      <c r="W6" s="74"/>
      <c r="X6" s="74">
        <f t="shared" ref="X6:X15" si="1">ROUND(SUM(L6:W6),5)</f>
        <v>7405</v>
      </c>
      <c r="AA6" s="65" t="str">
        <f t="shared" si="0"/>
        <v>4312170</v>
      </c>
      <c r="AB6" s="7">
        <v>3310</v>
      </c>
      <c r="AC6" s="64" t="s">
        <v>17</v>
      </c>
    </row>
    <row r="7" spans="1:29" x14ac:dyDescent="0.25">
      <c r="A7" s="64"/>
      <c r="B7" s="64"/>
      <c r="C7" s="64"/>
      <c r="D7" s="64"/>
      <c r="E7" s="64" t="s">
        <v>18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4">
        <v>3388</v>
      </c>
      <c r="M7" s="74">
        <v>3388</v>
      </c>
      <c r="N7" s="74">
        <v>3388</v>
      </c>
      <c r="O7" s="74">
        <v>3388</v>
      </c>
      <c r="P7" s="74">
        <v>3388</v>
      </c>
      <c r="Q7" s="74">
        <v>3663</v>
      </c>
      <c r="R7" s="74">
        <v>3663</v>
      </c>
      <c r="S7" s="74">
        <v>3664</v>
      </c>
      <c r="T7" s="74">
        <v>3664</v>
      </c>
      <c r="U7" s="74"/>
      <c r="V7" s="74"/>
      <c r="W7" s="74"/>
      <c r="X7" s="74">
        <f t="shared" si="1"/>
        <v>31594</v>
      </c>
      <c r="AA7" s="65" t="str">
        <f t="shared" si="0"/>
        <v>4312180</v>
      </c>
      <c r="AB7" s="7">
        <v>3310</v>
      </c>
      <c r="AC7" s="64" t="s">
        <v>18</v>
      </c>
    </row>
    <row r="8" spans="1:29" x14ac:dyDescent="0.25">
      <c r="A8" s="64"/>
      <c r="B8" s="64"/>
      <c r="C8" s="64"/>
      <c r="D8" s="64"/>
      <c r="E8" s="64" t="s">
        <v>272</v>
      </c>
      <c r="F8" s="79"/>
      <c r="G8" s="79"/>
      <c r="H8" s="79"/>
      <c r="I8" s="79"/>
      <c r="J8" s="79"/>
      <c r="K8" s="79"/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173</v>
      </c>
      <c r="T8" s="74">
        <v>173</v>
      </c>
      <c r="U8" s="74"/>
      <c r="V8" s="74"/>
      <c r="W8" s="74"/>
      <c r="X8" s="74">
        <f t="shared" si="1"/>
        <v>346</v>
      </c>
      <c r="AA8" s="65" t="str">
        <f t="shared" si="0"/>
        <v>4330020</v>
      </c>
      <c r="AB8" s="7">
        <v>3310</v>
      </c>
      <c r="AC8" s="64" t="s">
        <v>18</v>
      </c>
    </row>
    <row r="9" spans="1:29" x14ac:dyDescent="0.25">
      <c r="A9" s="64"/>
      <c r="B9" s="64"/>
      <c r="C9" s="64"/>
      <c r="D9" s="64"/>
      <c r="E9" s="64" t="s">
        <v>19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4">
        <v>829</v>
      </c>
      <c r="M9" s="74">
        <v>829</v>
      </c>
      <c r="N9" s="74">
        <v>829</v>
      </c>
      <c r="O9" s="74">
        <v>829</v>
      </c>
      <c r="P9" s="74">
        <v>829</v>
      </c>
      <c r="Q9" s="74">
        <v>897</v>
      </c>
      <c r="R9" s="74">
        <v>897</v>
      </c>
      <c r="S9" s="74">
        <v>915</v>
      </c>
      <c r="T9" s="74">
        <v>915</v>
      </c>
      <c r="U9" s="74"/>
      <c r="V9" s="74"/>
      <c r="W9" s="74"/>
      <c r="X9" s="74">
        <f t="shared" si="1"/>
        <v>7769</v>
      </c>
      <c r="AA9" s="65" t="str">
        <f t="shared" si="0"/>
        <v>4336550</v>
      </c>
      <c r="AB9" s="7">
        <v>3310</v>
      </c>
      <c r="AC9" s="64" t="s">
        <v>19</v>
      </c>
    </row>
    <row r="10" spans="1:29" x14ac:dyDescent="0.25">
      <c r="A10" s="64"/>
      <c r="B10" s="64"/>
      <c r="C10" s="64"/>
      <c r="D10" s="64"/>
      <c r="E10" s="64" t="s">
        <v>20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4">
        <v>11594</v>
      </c>
      <c r="M10" s="74">
        <v>11594</v>
      </c>
      <c r="N10" s="74">
        <v>11594</v>
      </c>
      <c r="O10" s="74">
        <v>11594</v>
      </c>
      <c r="P10" s="74">
        <v>11594</v>
      </c>
      <c r="Q10" s="74">
        <v>12540</v>
      </c>
      <c r="R10" s="74">
        <v>12540</v>
      </c>
      <c r="S10" s="74">
        <v>12736</v>
      </c>
      <c r="T10" s="74">
        <v>12736</v>
      </c>
      <c r="U10" s="74"/>
      <c r="V10" s="74"/>
      <c r="W10" s="74"/>
      <c r="X10" s="74">
        <f t="shared" si="1"/>
        <v>108522</v>
      </c>
      <c r="AA10" s="65" t="str">
        <f t="shared" si="0"/>
        <v>4355600</v>
      </c>
      <c r="AB10" s="7">
        <v>3355</v>
      </c>
      <c r="AC10" s="64" t="s">
        <v>20</v>
      </c>
    </row>
    <row r="11" spans="1:29" x14ac:dyDescent="0.25">
      <c r="A11" s="64"/>
      <c r="B11" s="64"/>
      <c r="C11" s="64"/>
      <c r="D11" s="64"/>
      <c r="E11" s="64" t="s">
        <v>21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4">
        <v>596</v>
      </c>
      <c r="M11" s="74">
        <v>596</v>
      </c>
      <c r="N11" s="74">
        <v>596</v>
      </c>
      <c r="O11" s="74">
        <v>596</v>
      </c>
      <c r="P11" s="74">
        <v>596</v>
      </c>
      <c r="Q11" s="74">
        <v>642</v>
      </c>
      <c r="R11" s="74">
        <v>642</v>
      </c>
      <c r="S11" s="74">
        <v>683</v>
      </c>
      <c r="T11" s="74">
        <v>683</v>
      </c>
      <c r="U11" s="74"/>
      <c r="V11" s="74"/>
      <c r="W11" s="74"/>
      <c r="X11" s="74">
        <f t="shared" si="1"/>
        <v>5630</v>
      </c>
      <c r="AA11" s="65" t="str">
        <f t="shared" si="0"/>
        <v>4357000</v>
      </c>
      <c r="AB11" s="7">
        <v>3310</v>
      </c>
      <c r="AC11" s="64" t="s">
        <v>21</v>
      </c>
    </row>
    <row r="12" spans="1:29" x14ac:dyDescent="0.25">
      <c r="A12" s="64"/>
      <c r="B12" s="64"/>
      <c r="C12" s="64"/>
      <c r="D12" s="64"/>
      <c r="E12" s="64" t="s">
        <v>273</v>
      </c>
      <c r="F12" s="79"/>
      <c r="G12" s="79"/>
      <c r="H12" s="79"/>
      <c r="I12" s="79"/>
      <c r="J12" s="79"/>
      <c r="K12" s="79"/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1174</v>
      </c>
      <c r="T12" s="74">
        <v>1174</v>
      </c>
      <c r="U12" s="74"/>
      <c r="V12" s="74"/>
      <c r="W12" s="74"/>
      <c r="X12" s="74">
        <f t="shared" si="1"/>
        <v>2348</v>
      </c>
      <c r="AA12" s="65" t="str">
        <f t="shared" si="0"/>
        <v>4358000</v>
      </c>
      <c r="AB12" s="7">
        <v>3310</v>
      </c>
      <c r="AC12" s="64" t="s">
        <v>21</v>
      </c>
    </row>
    <row r="13" spans="1:29" x14ac:dyDescent="0.25">
      <c r="A13" s="64"/>
      <c r="B13" s="64"/>
      <c r="C13" s="64"/>
      <c r="D13" s="64"/>
      <c r="E13" s="64" t="s">
        <v>22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4">
        <v>2583</v>
      </c>
      <c r="M13" s="74">
        <v>2583</v>
      </c>
      <c r="N13" s="74">
        <v>2583</v>
      </c>
      <c r="O13" s="74">
        <v>2583</v>
      </c>
      <c r="P13" s="74">
        <v>2583</v>
      </c>
      <c r="Q13" s="74">
        <v>2574</v>
      </c>
      <c r="R13" s="74">
        <v>2574</v>
      </c>
      <c r="S13" s="74">
        <v>2881</v>
      </c>
      <c r="T13" s="74">
        <v>2881</v>
      </c>
      <c r="U13" s="74"/>
      <c r="V13" s="74"/>
      <c r="W13" s="74"/>
      <c r="X13" s="74">
        <f t="shared" si="1"/>
        <v>23825</v>
      </c>
      <c r="AA13" s="65" t="str">
        <f t="shared" si="0"/>
        <v>4358500</v>
      </c>
      <c r="AB13" s="7">
        <v>3310</v>
      </c>
      <c r="AC13" s="64" t="s">
        <v>22</v>
      </c>
    </row>
    <row r="14" spans="1:29" x14ac:dyDescent="0.25">
      <c r="A14" s="64"/>
      <c r="B14" s="64"/>
      <c r="C14" s="64"/>
      <c r="D14" s="64"/>
      <c r="E14" s="64" t="s">
        <v>255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30832</v>
      </c>
      <c r="R14" s="74">
        <v>3036</v>
      </c>
      <c r="S14" s="74">
        <v>3484</v>
      </c>
      <c r="T14" s="74">
        <v>4920</v>
      </c>
      <c r="U14" s="74"/>
      <c r="V14" s="74"/>
      <c r="W14" s="74"/>
      <c r="X14" s="74">
        <f t="shared" si="1"/>
        <v>42272</v>
      </c>
      <c r="AA14" s="65" t="str">
        <f t="shared" si="0"/>
        <v>4474009</v>
      </c>
      <c r="AB14" s="66" t="s">
        <v>195</v>
      </c>
      <c r="AC14" s="64" t="s">
        <v>255</v>
      </c>
    </row>
    <row r="15" spans="1:29" x14ac:dyDescent="0.25">
      <c r="A15" s="64"/>
      <c r="B15" s="64"/>
      <c r="C15" s="64"/>
      <c r="D15" s="64"/>
      <c r="E15" s="64" t="s">
        <v>122</v>
      </c>
      <c r="F15" s="79">
        <v>15275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4">
        <v>50000</v>
      </c>
      <c r="M15" s="74">
        <v>50000</v>
      </c>
      <c r="N15" s="74">
        <v>0</v>
      </c>
      <c r="O15" s="74">
        <v>0</v>
      </c>
      <c r="P15" s="74">
        <v>50000</v>
      </c>
      <c r="Q15" s="74">
        <v>0</v>
      </c>
      <c r="R15" s="74">
        <v>0</v>
      </c>
      <c r="S15" s="74">
        <v>0</v>
      </c>
      <c r="T15" s="74">
        <v>0</v>
      </c>
      <c r="U15" s="74"/>
      <c r="V15" s="74"/>
      <c r="W15" s="74"/>
      <c r="X15" s="74">
        <f t="shared" si="1"/>
        <v>150000</v>
      </c>
      <c r="AA15" s="65" t="str">
        <f t="shared" si="0"/>
        <v>4495000</v>
      </c>
      <c r="AB15" s="66">
        <v>3700</v>
      </c>
      <c r="AC15" s="64" t="s">
        <v>122</v>
      </c>
    </row>
    <row r="16" spans="1:29" ht="15.75" thickBot="1" x14ac:dyDescent="0.3">
      <c r="A16" s="64"/>
      <c r="B16" s="64"/>
      <c r="C16" s="64"/>
      <c r="D16" s="64" t="s">
        <v>23</v>
      </c>
      <c r="E16" s="64"/>
      <c r="F16" s="82">
        <f t="shared" ref="F16:P16" si="2">ROUND(SUM(F4:F15),5)</f>
        <v>15275</v>
      </c>
      <c r="G16" s="82">
        <f t="shared" si="2"/>
        <v>0</v>
      </c>
      <c r="H16" s="82">
        <f t="shared" si="2"/>
        <v>0</v>
      </c>
      <c r="I16" s="82">
        <f t="shared" si="2"/>
        <v>0</v>
      </c>
      <c r="J16" s="82">
        <f t="shared" si="2"/>
        <v>0</v>
      </c>
      <c r="K16" s="82">
        <f t="shared" si="2"/>
        <v>0</v>
      </c>
      <c r="L16" s="91">
        <f t="shared" si="2"/>
        <v>134391</v>
      </c>
      <c r="M16" s="91">
        <f t="shared" si="2"/>
        <v>134391</v>
      </c>
      <c r="N16" s="91">
        <f t="shared" si="2"/>
        <v>84391</v>
      </c>
      <c r="O16" s="91">
        <f t="shared" si="2"/>
        <v>84391</v>
      </c>
      <c r="P16" s="91">
        <f t="shared" si="2"/>
        <v>134391</v>
      </c>
      <c r="Q16" s="91">
        <f t="shared" ref="Q16:X16" si="3">ROUND(SUM(Q4:Q15),5)</f>
        <v>121863</v>
      </c>
      <c r="R16" s="91">
        <f t="shared" si="3"/>
        <v>94067</v>
      </c>
      <c r="S16" s="91">
        <f t="shared" si="3"/>
        <v>100476</v>
      </c>
      <c r="T16" s="91">
        <f t="shared" si="3"/>
        <v>101912</v>
      </c>
      <c r="U16" s="91">
        <f t="shared" si="3"/>
        <v>0</v>
      </c>
      <c r="V16" s="91">
        <f t="shared" si="3"/>
        <v>0</v>
      </c>
      <c r="W16" s="91">
        <f t="shared" si="3"/>
        <v>0</v>
      </c>
      <c r="X16" s="91">
        <f t="shared" si="3"/>
        <v>990273</v>
      </c>
      <c r="AA16" s="65" t="str">
        <f t="shared" si="0"/>
        <v/>
      </c>
      <c r="AC16" s="64"/>
    </row>
    <row r="17" spans="1:29" x14ac:dyDescent="0.25">
      <c r="A17" s="64"/>
      <c r="B17" s="64"/>
      <c r="C17" s="64" t="s">
        <v>117</v>
      </c>
      <c r="D17" s="64"/>
      <c r="E17" s="64"/>
      <c r="F17" s="79">
        <f t="shared" ref="F17:P17" si="4">ROUND(F3+F16,5)</f>
        <v>15275</v>
      </c>
      <c r="G17" s="79">
        <f t="shared" si="4"/>
        <v>0</v>
      </c>
      <c r="H17" s="79">
        <f t="shared" si="4"/>
        <v>0</v>
      </c>
      <c r="I17" s="79">
        <f t="shared" si="4"/>
        <v>0</v>
      </c>
      <c r="J17" s="79">
        <f t="shared" si="4"/>
        <v>0</v>
      </c>
      <c r="K17" s="79">
        <f t="shared" si="4"/>
        <v>0</v>
      </c>
      <c r="L17" s="74">
        <f t="shared" si="4"/>
        <v>134391</v>
      </c>
      <c r="M17" s="74">
        <f t="shared" si="4"/>
        <v>134391</v>
      </c>
      <c r="N17" s="74">
        <f t="shared" si="4"/>
        <v>84391</v>
      </c>
      <c r="O17" s="74">
        <f t="shared" si="4"/>
        <v>84391</v>
      </c>
      <c r="P17" s="74">
        <f t="shared" si="4"/>
        <v>134391</v>
      </c>
      <c r="Q17" s="74">
        <f t="shared" ref="Q17:X17" si="5">ROUND(Q3+Q16,5)</f>
        <v>121863</v>
      </c>
      <c r="R17" s="74">
        <f t="shared" si="5"/>
        <v>94067</v>
      </c>
      <c r="S17" s="74">
        <f t="shared" si="5"/>
        <v>100476</v>
      </c>
      <c r="T17" s="74">
        <f t="shared" si="5"/>
        <v>101912</v>
      </c>
      <c r="U17" s="74">
        <f t="shared" si="5"/>
        <v>0</v>
      </c>
      <c r="V17" s="74">
        <f t="shared" si="5"/>
        <v>0</v>
      </c>
      <c r="W17" s="74">
        <f t="shared" si="5"/>
        <v>0</v>
      </c>
      <c r="X17" s="74">
        <f t="shared" si="5"/>
        <v>990273</v>
      </c>
      <c r="AA17" s="65" t="str">
        <f t="shared" si="0"/>
        <v/>
      </c>
      <c r="AC17" s="64"/>
    </row>
    <row r="18" spans="1:29" x14ac:dyDescent="0.25">
      <c r="A18" s="64"/>
      <c r="B18" s="64"/>
      <c r="C18" s="64" t="s">
        <v>118</v>
      </c>
      <c r="D18" s="64"/>
      <c r="E18" s="64"/>
      <c r="F18" s="79"/>
      <c r="G18" s="79"/>
      <c r="H18" s="79"/>
      <c r="I18" s="79"/>
      <c r="J18" s="79"/>
      <c r="K18" s="79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AA18" s="65" t="str">
        <f t="shared" si="0"/>
        <v/>
      </c>
      <c r="AC18" s="64"/>
    </row>
    <row r="19" spans="1:29" x14ac:dyDescent="0.25">
      <c r="A19" s="64"/>
      <c r="B19" s="64"/>
      <c r="C19" s="64"/>
      <c r="D19" s="64" t="s">
        <v>24</v>
      </c>
      <c r="E19" s="64"/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/>
      <c r="R19" s="74"/>
      <c r="S19" s="74"/>
      <c r="T19" s="74"/>
      <c r="U19" s="74"/>
      <c r="V19" s="74"/>
      <c r="W19" s="74"/>
      <c r="X19" s="74">
        <f>ROUND(SUM(F19:P19),5)</f>
        <v>0</v>
      </c>
      <c r="AA19" s="65" t="str">
        <f t="shared" si="0"/>
        <v/>
      </c>
      <c r="AC19" s="64"/>
    </row>
    <row r="20" spans="1:29" x14ac:dyDescent="0.25">
      <c r="A20" s="64"/>
      <c r="B20" s="64"/>
      <c r="C20" s="64"/>
      <c r="D20" s="64" t="s">
        <v>25</v>
      </c>
      <c r="E20" s="64"/>
      <c r="F20" s="79"/>
      <c r="G20" s="79"/>
      <c r="H20" s="79"/>
      <c r="I20" s="79"/>
      <c r="J20" s="79"/>
      <c r="K20" s="79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AA20" s="65" t="str">
        <f t="shared" si="0"/>
        <v/>
      </c>
      <c r="AC20" s="64"/>
    </row>
    <row r="21" spans="1:29" x14ac:dyDescent="0.25">
      <c r="A21" s="64"/>
      <c r="B21" s="64"/>
      <c r="C21" s="64"/>
      <c r="D21" s="64"/>
      <c r="E21" s="64" t="s">
        <v>26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4">
        <v>27708.240000000002</v>
      </c>
      <c r="M21" s="74">
        <v>27708.240000000002</v>
      </c>
      <c r="N21" s="74">
        <v>29371.8</v>
      </c>
      <c r="O21" s="74">
        <v>27708.240000000002</v>
      </c>
      <c r="P21" s="74">
        <v>23749.919999999998</v>
      </c>
      <c r="Q21" s="74">
        <v>23749.919999999998</v>
      </c>
      <c r="R21" s="74">
        <v>26322.82</v>
      </c>
      <c r="S21" s="74">
        <v>27708.240000000002</v>
      </c>
      <c r="T21" s="74">
        <v>27708.240000000002</v>
      </c>
      <c r="U21" s="74"/>
      <c r="V21" s="74"/>
      <c r="W21" s="74"/>
      <c r="X21" s="74">
        <f t="shared" ref="X21:X35" si="6">ROUND(SUM(L21:W21),5)</f>
        <v>241735.66</v>
      </c>
      <c r="AA21" s="65" t="str">
        <f t="shared" si="0"/>
        <v>5101200</v>
      </c>
      <c r="AB21" s="7">
        <v>5000</v>
      </c>
      <c r="AC21" s="64" t="s">
        <v>26</v>
      </c>
    </row>
    <row r="22" spans="1:29" x14ac:dyDescent="0.25">
      <c r="A22" s="64"/>
      <c r="B22" s="64"/>
      <c r="C22" s="64"/>
      <c r="D22" s="64"/>
      <c r="E22" s="64" t="s">
        <v>27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4">
        <v>0</v>
      </c>
      <c r="M22" s="74">
        <v>0</v>
      </c>
      <c r="N22" s="74">
        <v>3324.56</v>
      </c>
      <c r="O22" s="74">
        <v>5605.47</v>
      </c>
      <c r="P22" s="74">
        <v>7144.63</v>
      </c>
      <c r="Q22" s="74">
        <v>4419.55</v>
      </c>
      <c r="R22" s="74">
        <v>4875.29</v>
      </c>
      <c r="S22" s="74">
        <v>6798.7</v>
      </c>
      <c r="T22" s="74">
        <v>5405.08</v>
      </c>
      <c r="U22" s="74"/>
      <c r="V22" s="74"/>
      <c r="W22" s="74"/>
      <c r="X22" s="74">
        <f t="shared" si="6"/>
        <v>37573.279999999999</v>
      </c>
      <c r="AA22" s="65" t="str">
        <f t="shared" si="0"/>
        <v>5101400</v>
      </c>
      <c r="AB22" s="7">
        <v>5000</v>
      </c>
      <c r="AC22" s="64" t="s">
        <v>27</v>
      </c>
    </row>
    <row r="23" spans="1:29" x14ac:dyDescent="0.25">
      <c r="A23" s="64"/>
      <c r="B23" s="64"/>
      <c r="C23" s="64"/>
      <c r="D23" s="64"/>
      <c r="E23" s="64" t="s">
        <v>28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4">
        <v>3040.72</v>
      </c>
      <c r="M23" s="74">
        <v>2580.23</v>
      </c>
      <c r="N23" s="74">
        <v>2312.5500000000002</v>
      </c>
      <c r="O23" s="74">
        <v>2398.5300000000002</v>
      </c>
      <c r="P23" s="74">
        <v>2282.91</v>
      </c>
      <c r="Q23" s="74">
        <v>2235.46</v>
      </c>
      <c r="R23" s="74">
        <v>2341.3000000000002</v>
      </c>
      <c r="S23" s="74">
        <v>2639.67</v>
      </c>
      <c r="T23" s="74">
        <v>2533.2600000000002</v>
      </c>
      <c r="U23" s="74"/>
      <c r="V23" s="74"/>
      <c r="W23" s="74"/>
      <c r="X23" s="74">
        <f t="shared" si="6"/>
        <v>22364.63</v>
      </c>
      <c r="AA23" s="65" t="str">
        <f t="shared" si="0"/>
        <v>5102200</v>
      </c>
      <c r="AB23" s="7">
        <v>5000</v>
      </c>
      <c r="AC23" s="64" t="s">
        <v>28</v>
      </c>
    </row>
    <row r="24" spans="1:29" x14ac:dyDescent="0.25">
      <c r="A24" s="64"/>
      <c r="B24" s="64"/>
      <c r="C24" s="64"/>
      <c r="D24" s="64"/>
      <c r="E24" s="64" t="s">
        <v>29</v>
      </c>
      <c r="F24" s="79">
        <v>0</v>
      </c>
      <c r="G24" s="79">
        <v>0</v>
      </c>
      <c r="H24" s="101">
        <v>0</v>
      </c>
      <c r="I24" s="79">
        <v>0</v>
      </c>
      <c r="J24" s="79">
        <v>0</v>
      </c>
      <c r="K24" s="79">
        <v>0</v>
      </c>
      <c r="L24" s="74">
        <v>0</v>
      </c>
      <c r="M24" s="74">
        <v>0</v>
      </c>
      <c r="N24" s="74">
        <v>261.04000000000002</v>
      </c>
      <c r="O24" s="74">
        <v>522.08000000000004</v>
      </c>
      <c r="P24" s="74">
        <v>601.35</v>
      </c>
      <c r="Q24" s="74">
        <v>449.28</v>
      </c>
      <c r="R24" s="74">
        <v>449.28</v>
      </c>
      <c r="S24" s="74">
        <v>449.28</v>
      </c>
      <c r="T24" s="74">
        <v>449.28</v>
      </c>
      <c r="U24" s="74"/>
      <c r="V24" s="74"/>
      <c r="W24" s="74"/>
      <c r="X24" s="74">
        <f t="shared" si="6"/>
        <v>3181.59</v>
      </c>
      <c r="AA24" s="65" t="str">
        <f t="shared" si="0"/>
        <v>5102300</v>
      </c>
      <c r="AB24" s="7">
        <v>5000</v>
      </c>
      <c r="AC24" s="64" t="s">
        <v>29</v>
      </c>
    </row>
    <row r="25" spans="1:29" x14ac:dyDescent="0.25">
      <c r="A25" s="64"/>
      <c r="B25" s="64"/>
      <c r="C25" s="64"/>
      <c r="D25" s="64"/>
      <c r="E25" s="64" t="s">
        <v>30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4">
        <v>0</v>
      </c>
      <c r="M25" s="74">
        <v>0</v>
      </c>
      <c r="N25" s="74">
        <v>0</v>
      </c>
      <c r="O25" s="74">
        <v>1504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/>
      <c r="V25" s="74"/>
      <c r="W25" s="74"/>
      <c r="X25" s="74">
        <f t="shared" si="6"/>
        <v>1504</v>
      </c>
      <c r="AA25" s="65" t="str">
        <f t="shared" si="0"/>
        <v>5102400</v>
      </c>
      <c r="AB25" s="7">
        <v>5000</v>
      </c>
      <c r="AC25" s="64" t="s">
        <v>30</v>
      </c>
    </row>
    <row r="26" spans="1:29" x14ac:dyDescent="0.25">
      <c r="A26" s="64"/>
      <c r="B26" s="64"/>
      <c r="C26" s="64"/>
      <c r="D26" s="64"/>
      <c r="E26" s="64" t="s">
        <v>31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4">
        <v>0</v>
      </c>
      <c r="M26" s="74">
        <v>374.08</v>
      </c>
      <c r="N26" s="74">
        <v>814.25</v>
      </c>
      <c r="O26" s="74">
        <v>430.85</v>
      </c>
      <c r="P26" s="74">
        <v>187.69</v>
      </c>
      <c r="Q26" s="74">
        <v>81.28</v>
      </c>
      <c r="R26" s="74">
        <v>826.32</v>
      </c>
      <c r="S26" s="74">
        <v>783.19</v>
      </c>
      <c r="T26" s="74">
        <v>164.25</v>
      </c>
      <c r="U26" s="74"/>
      <c r="V26" s="74"/>
      <c r="W26" s="74"/>
      <c r="X26" s="74">
        <f t="shared" si="6"/>
        <v>3661.91</v>
      </c>
      <c r="AA26" s="65" t="str">
        <f t="shared" si="0"/>
        <v>5102500</v>
      </c>
      <c r="AB26" s="7">
        <v>5000</v>
      </c>
      <c r="AC26" s="64" t="s">
        <v>31</v>
      </c>
    </row>
    <row r="27" spans="1:29" x14ac:dyDescent="0.25">
      <c r="A27" s="64"/>
      <c r="B27" s="64"/>
      <c r="C27" s="64"/>
      <c r="D27" s="64"/>
      <c r="E27" s="64" t="s">
        <v>32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4">
        <v>0</v>
      </c>
      <c r="M27" s="74">
        <v>0</v>
      </c>
      <c r="N27" s="74">
        <v>0</v>
      </c>
      <c r="O27" s="74">
        <v>52123.47</v>
      </c>
      <c r="P27" s="74">
        <v>0</v>
      </c>
      <c r="Q27" s="74">
        <v>0</v>
      </c>
      <c r="R27" s="74">
        <v>0</v>
      </c>
      <c r="S27" s="74">
        <v>675.33</v>
      </c>
      <c r="T27" s="74">
        <v>0</v>
      </c>
      <c r="U27" s="74"/>
      <c r="V27" s="74"/>
      <c r="W27" s="74"/>
      <c r="X27" s="74">
        <f t="shared" si="6"/>
        <v>52798.8</v>
      </c>
      <c r="AA27" s="65" t="str">
        <f t="shared" si="0"/>
        <v>5105200</v>
      </c>
      <c r="AB27" s="7">
        <v>5000</v>
      </c>
      <c r="AC27" s="64" t="s">
        <v>32</v>
      </c>
    </row>
    <row r="28" spans="1:29" x14ac:dyDescent="0.25">
      <c r="A28" s="64"/>
      <c r="B28" s="64"/>
      <c r="C28" s="64"/>
      <c r="D28" s="64"/>
      <c r="E28" s="64" t="s">
        <v>33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4">
        <v>0</v>
      </c>
      <c r="M28" s="74">
        <v>6250</v>
      </c>
      <c r="N28" s="74">
        <v>6350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  <c r="T28" s="74">
        <v>0</v>
      </c>
      <c r="U28" s="74"/>
      <c r="V28" s="74"/>
      <c r="W28" s="74"/>
      <c r="X28" s="74">
        <f t="shared" si="6"/>
        <v>12600</v>
      </c>
      <c r="AA28" s="65" t="str">
        <f t="shared" si="0"/>
        <v>5106430</v>
      </c>
      <c r="AB28" s="7">
        <v>5000</v>
      </c>
      <c r="AC28" s="64" t="s">
        <v>33</v>
      </c>
    </row>
    <row r="29" spans="1:29" x14ac:dyDescent="0.25">
      <c r="A29" s="64"/>
      <c r="B29" s="64"/>
      <c r="C29" s="64"/>
      <c r="D29" s="64"/>
      <c r="E29" s="64" t="s">
        <v>34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4">
        <v>0</v>
      </c>
      <c r="M29" s="74">
        <v>0</v>
      </c>
      <c r="N29" s="74">
        <v>360</v>
      </c>
      <c r="O29" s="74">
        <v>10540</v>
      </c>
      <c r="P29" s="74">
        <v>0</v>
      </c>
      <c r="Q29" s="74">
        <v>0</v>
      </c>
      <c r="R29" s="74">
        <v>15</v>
      </c>
      <c r="S29" s="74">
        <v>0</v>
      </c>
      <c r="T29" s="74">
        <v>0</v>
      </c>
      <c r="U29" s="74"/>
      <c r="V29" s="74"/>
      <c r="W29" s="74"/>
      <c r="X29" s="74">
        <f t="shared" si="6"/>
        <v>10915</v>
      </c>
      <c r="AA29" s="65" t="str">
        <f t="shared" si="0"/>
        <v>5106900</v>
      </c>
      <c r="AB29" s="7">
        <v>5000</v>
      </c>
      <c r="AC29" s="64" t="s">
        <v>34</v>
      </c>
    </row>
    <row r="30" spans="1:29" x14ac:dyDescent="0.25">
      <c r="A30" s="64"/>
      <c r="B30" s="64"/>
      <c r="C30" s="64"/>
      <c r="D30" s="64" t="s">
        <v>35</v>
      </c>
      <c r="E30" s="64"/>
      <c r="F30" s="83">
        <f t="shared" ref="F30:X30" si="7">ROUND(SUM(F20:F29),5)</f>
        <v>0</v>
      </c>
      <c r="G30" s="83">
        <f t="shared" si="7"/>
        <v>0</v>
      </c>
      <c r="H30" s="83">
        <f t="shared" si="7"/>
        <v>0</v>
      </c>
      <c r="I30" s="83">
        <f t="shared" si="7"/>
        <v>0</v>
      </c>
      <c r="J30" s="83">
        <f t="shared" si="7"/>
        <v>0</v>
      </c>
      <c r="K30" s="83">
        <f t="shared" si="7"/>
        <v>0</v>
      </c>
      <c r="L30" s="75">
        <f t="shared" si="7"/>
        <v>30748.959999999999</v>
      </c>
      <c r="M30" s="75">
        <f t="shared" si="7"/>
        <v>36912.550000000003</v>
      </c>
      <c r="N30" s="75">
        <f t="shared" si="7"/>
        <v>42794.2</v>
      </c>
      <c r="O30" s="75">
        <f t="shared" si="7"/>
        <v>100832.64</v>
      </c>
      <c r="P30" s="75">
        <f t="shared" si="7"/>
        <v>33966.5</v>
      </c>
      <c r="Q30" s="75">
        <f t="shared" si="7"/>
        <v>30935.49</v>
      </c>
      <c r="R30" s="75">
        <f t="shared" si="7"/>
        <v>34830.01</v>
      </c>
      <c r="S30" s="75">
        <f t="shared" si="7"/>
        <v>39054.410000000003</v>
      </c>
      <c r="T30" s="75">
        <f t="shared" si="7"/>
        <v>36260.11</v>
      </c>
      <c r="U30" s="75">
        <f t="shared" si="7"/>
        <v>0</v>
      </c>
      <c r="V30" s="75">
        <f t="shared" si="7"/>
        <v>0</v>
      </c>
      <c r="W30" s="75">
        <f t="shared" si="7"/>
        <v>0</v>
      </c>
      <c r="X30" s="75">
        <f t="shared" si="7"/>
        <v>386334.87</v>
      </c>
      <c r="AA30" s="65" t="str">
        <f t="shared" si="0"/>
        <v/>
      </c>
      <c r="AC30" s="64"/>
    </row>
    <row r="31" spans="1:29" x14ac:dyDescent="0.25">
      <c r="A31" s="64"/>
      <c r="B31" s="64"/>
      <c r="C31" s="64"/>
      <c r="D31" s="64" t="s">
        <v>60</v>
      </c>
      <c r="E31" s="64"/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4">
        <v>0</v>
      </c>
      <c r="M31" s="74">
        <v>1639.93</v>
      </c>
      <c r="N31" s="74">
        <v>1817.02</v>
      </c>
      <c r="O31" s="74">
        <v>4189.54</v>
      </c>
      <c r="P31" s="74">
        <v>-7646.49</v>
      </c>
      <c r="Q31" s="74">
        <v>0</v>
      </c>
      <c r="R31" s="74"/>
      <c r="S31" s="74">
        <v>0</v>
      </c>
      <c r="T31" s="74"/>
      <c r="U31" s="74"/>
      <c r="V31" s="74"/>
      <c r="W31" s="74"/>
      <c r="X31" s="74">
        <f t="shared" si="6"/>
        <v>0</v>
      </c>
      <c r="AB31" s="7">
        <v>5000</v>
      </c>
      <c r="AC31" s="64"/>
    </row>
    <row r="32" spans="1:29" x14ac:dyDescent="0.25">
      <c r="A32" s="64"/>
      <c r="B32" s="64"/>
      <c r="C32" s="64"/>
      <c r="D32" s="64" t="s">
        <v>74</v>
      </c>
      <c r="E32" s="64"/>
      <c r="F32" s="79"/>
      <c r="G32" s="79"/>
      <c r="H32" s="79"/>
      <c r="I32" s="79"/>
      <c r="J32" s="79"/>
      <c r="K32" s="79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AA32" s="65" t="str">
        <f t="shared" ref="AA32:AA60" si="8">LEFT(E32,7)</f>
        <v/>
      </c>
      <c r="AC32" s="64"/>
    </row>
    <row r="33" spans="1:29" x14ac:dyDescent="0.25">
      <c r="A33" s="64"/>
      <c r="B33" s="64"/>
      <c r="C33" s="64"/>
      <c r="D33" s="64"/>
      <c r="E33" s="64" t="s">
        <v>67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4">
        <v>0</v>
      </c>
      <c r="M33" s="74">
        <v>0</v>
      </c>
      <c r="N33" s="74">
        <v>10044.299999999999</v>
      </c>
      <c r="O33" s="74">
        <v>15600.91</v>
      </c>
      <c r="P33" s="74">
        <v>0</v>
      </c>
      <c r="Q33" s="74">
        <v>0</v>
      </c>
      <c r="R33" s="74">
        <v>0</v>
      </c>
      <c r="S33" s="74">
        <v>0</v>
      </c>
      <c r="T33" s="74">
        <v>0</v>
      </c>
      <c r="U33" s="74"/>
      <c r="V33" s="74"/>
      <c r="W33" s="74"/>
      <c r="X33" s="74">
        <f t="shared" si="6"/>
        <v>25645.21</v>
      </c>
      <c r="AA33" s="65" t="str">
        <f t="shared" si="8"/>
        <v>7103200</v>
      </c>
      <c r="AB33" s="7">
        <v>7100</v>
      </c>
      <c r="AC33" s="64" t="s">
        <v>67</v>
      </c>
    </row>
    <row r="34" spans="1:29" x14ac:dyDescent="0.25">
      <c r="A34" s="64"/>
      <c r="B34" s="64"/>
      <c r="C34" s="64"/>
      <c r="D34" s="64"/>
      <c r="E34" s="64" t="s">
        <v>245</v>
      </c>
      <c r="F34" s="79"/>
      <c r="G34" s="79"/>
      <c r="H34" s="79"/>
      <c r="I34" s="79"/>
      <c r="J34" s="79"/>
      <c r="K34" s="79"/>
      <c r="L34" s="74"/>
      <c r="M34" s="74"/>
      <c r="N34" s="74"/>
      <c r="O34" s="74"/>
      <c r="P34" s="74">
        <v>3750</v>
      </c>
      <c r="Q34" s="74">
        <v>750</v>
      </c>
      <c r="R34" s="74">
        <v>750</v>
      </c>
      <c r="S34" s="74">
        <v>750</v>
      </c>
      <c r="T34" s="74">
        <v>750</v>
      </c>
      <c r="U34" s="74"/>
      <c r="V34" s="74"/>
      <c r="W34" s="74"/>
      <c r="X34" s="74">
        <f t="shared" si="6"/>
        <v>6750</v>
      </c>
      <c r="AA34" s="65" t="str">
        <f t="shared" si="8"/>
        <v>7103110</v>
      </c>
      <c r="AB34" s="7">
        <v>7100</v>
      </c>
      <c r="AC34" s="64"/>
    </row>
    <row r="35" spans="1:29" x14ac:dyDescent="0.25">
      <c r="A35" s="64"/>
      <c r="B35" s="64"/>
      <c r="C35" s="64"/>
      <c r="D35" s="64"/>
      <c r="E35" s="64" t="s">
        <v>58</v>
      </c>
      <c r="F35" s="79">
        <v>0</v>
      </c>
      <c r="G35" s="79">
        <v>0</v>
      </c>
      <c r="H35" s="79">
        <v>155.83000000000001</v>
      </c>
      <c r="I35" s="79">
        <v>0</v>
      </c>
      <c r="J35" s="79">
        <v>0</v>
      </c>
      <c r="K35" s="79">
        <v>0</v>
      </c>
      <c r="L35" s="74">
        <v>0</v>
      </c>
      <c r="M35" s="74">
        <v>45</v>
      </c>
      <c r="N35" s="74">
        <v>0</v>
      </c>
      <c r="O35" s="74">
        <v>500</v>
      </c>
      <c r="P35" s="74">
        <v>0</v>
      </c>
      <c r="Q35" s="74">
        <v>0</v>
      </c>
      <c r="R35" s="74">
        <v>0</v>
      </c>
      <c r="S35" s="74">
        <v>0</v>
      </c>
      <c r="T35" s="74">
        <v>0</v>
      </c>
      <c r="U35" s="74"/>
      <c r="V35" s="74"/>
      <c r="W35" s="74"/>
      <c r="X35" s="74">
        <f t="shared" si="6"/>
        <v>545</v>
      </c>
      <c r="AA35" s="65" t="str">
        <f t="shared" si="8"/>
        <v>7107300</v>
      </c>
      <c r="AB35" s="7">
        <v>7100</v>
      </c>
      <c r="AC35" s="64" t="s">
        <v>58</v>
      </c>
    </row>
    <row r="36" spans="1:29" x14ac:dyDescent="0.25">
      <c r="A36" s="64"/>
      <c r="B36" s="64"/>
      <c r="C36" s="64"/>
      <c r="D36" s="64" t="s">
        <v>75</v>
      </c>
      <c r="E36" s="64"/>
      <c r="F36" s="83">
        <f t="shared" ref="F36:X36" si="9">ROUND(SUM(F32:F35),5)</f>
        <v>0</v>
      </c>
      <c r="G36" s="83">
        <f t="shared" si="9"/>
        <v>0</v>
      </c>
      <c r="H36" s="83">
        <f t="shared" si="9"/>
        <v>155.83000000000001</v>
      </c>
      <c r="I36" s="83">
        <f t="shared" si="9"/>
        <v>0</v>
      </c>
      <c r="J36" s="83">
        <f t="shared" si="9"/>
        <v>0</v>
      </c>
      <c r="K36" s="83">
        <f t="shared" si="9"/>
        <v>0</v>
      </c>
      <c r="L36" s="75">
        <f t="shared" si="9"/>
        <v>0</v>
      </c>
      <c r="M36" s="75">
        <f t="shared" si="9"/>
        <v>45</v>
      </c>
      <c r="N36" s="75">
        <f t="shared" si="9"/>
        <v>10044.299999999999</v>
      </c>
      <c r="O36" s="75">
        <f t="shared" si="9"/>
        <v>16100.91</v>
      </c>
      <c r="P36" s="75">
        <f t="shared" si="9"/>
        <v>3750</v>
      </c>
      <c r="Q36" s="75">
        <f t="shared" si="9"/>
        <v>750</v>
      </c>
      <c r="R36" s="75">
        <f t="shared" si="9"/>
        <v>750</v>
      </c>
      <c r="S36" s="75">
        <f t="shared" si="9"/>
        <v>750</v>
      </c>
      <c r="T36" s="75">
        <f t="shared" si="9"/>
        <v>750</v>
      </c>
      <c r="U36" s="75">
        <f t="shared" si="9"/>
        <v>0</v>
      </c>
      <c r="V36" s="75">
        <f t="shared" si="9"/>
        <v>0</v>
      </c>
      <c r="W36" s="75">
        <f t="shared" si="9"/>
        <v>0</v>
      </c>
      <c r="X36" s="75">
        <f t="shared" si="9"/>
        <v>32940.21</v>
      </c>
      <c r="AA36" s="65" t="str">
        <f t="shared" si="8"/>
        <v/>
      </c>
      <c r="AC36" s="64"/>
    </row>
    <row r="37" spans="1:29" x14ac:dyDescent="0.25">
      <c r="A37" s="64"/>
      <c r="B37" s="64"/>
      <c r="C37" s="64"/>
      <c r="D37" s="64" t="s">
        <v>76</v>
      </c>
      <c r="E37" s="64"/>
      <c r="F37" s="79"/>
      <c r="G37" s="79"/>
      <c r="H37" s="79"/>
      <c r="I37" s="79"/>
      <c r="J37" s="79"/>
      <c r="K37" s="79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AA37" s="65" t="str">
        <f t="shared" si="8"/>
        <v/>
      </c>
      <c r="AC37" s="64"/>
    </row>
    <row r="38" spans="1:29" x14ac:dyDescent="0.25">
      <c r="A38" s="64"/>
      <c r="B38" s="64"/>
      <c r="C38" s="64"/>
      <c r="D38" s="64"/>
      <c r="E38" s="64" t="s">
        <v>72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4">
        <v>0</v>
      </c>
      <c r="M38" s="74">
        <v>0</v>
      </c>
      <c r="N38" s="74">
        <v>13484</v>
      </c>
      <c r="O38" s="74">
        <v>13005.32</v>
      </c>
      <c r="P38" s="74">
        <v>15617.32</v>
      </c>
      <c r="Q38" s="74">
        <v>13668</v>
      </c>
      <c r="R38" s="74">
        <v>13667.96</v>
      </c>
      <c r="S38" s="74">
        <v>14335.16</v>
      </c>
      <c r="T38" s="74">
        <v>14396.96</v>
      </c>
      <c r="U38" s="74"/>
      <c r="V38" s="74"/>
      <c r="W38" s="74"/>
      <c r="X38" s="74">
        <f t="shared" ref="X38" si="10">ROUND(SUM(L38:W38),5)</f>
        <v>98174.720000000001</v>
      </c>
      <c r="AA38" s="65" t="str">
        <f t="shared" si="8"/>
        <v>7203100</v>
      </c>
      <c r="AB38" s="7">
        <v>7200</v>
      </c>
      <c r="AC38" s="64" t="s">
        <v>72</v>
      </c>
    </row>
    <row r="39" spans="1:29" x14ac:dyDescent="0.25">
      <c r="A39" s="64"/>
      <c r="B39" s="64"/>
      <c r="C39" s="64"/>
      <c r="D39" s="64" t="s">
        <v>77</v>
      </c>
      <c r="E39" s="64"/>
      <c r="F39" s="83">
        <f t="shared" ref="F39:X39" si="11">ROUND(SUM(F37:F38),5)</f>
        <v>0</v>
      </c>
      <c r="G39" s="83">
        <f t="shared" si="11"/>
        <v>0</v>
      </c>
      <c r="H39" s="83">
        <f t="shared" si="11"/>
        <v>0</v>
      </c>
      <c r="I39" s="83">
        <f t="shared" si="11"/>
        <v>0</v>
      </c>
      <c r="J39" s="83">
        <f t="shared" si="11"/>
        <v>0</v>
      </c>
      <c r="K39" s="83">
        <f t="shared" si="11"/>
        <v>0</v>
      </c>
      <c r="L39" s="75">
        <f t="shared" si="11"/>
        <v>0</v>
      </c>
      <c r="M39" s="75">
        <f t="shared" si="11"/>
        <v>0</v>
      </c>
      <c r="N39" s="75">
        <f t="shared" si="11"/>
        <v>13484</v>
      </c>
      <c r="O39" s="75">
        <f t="shared" si="11"/>
        <v>13005.32</v>
      </c>
      <c r="P39" s="75">
        <f t="shared" si="11"/>
        <v>15617.32</v>
      </c>
      <c r="Q39" s="75">
        <f t="shared" si="11"/>
        <v>13668</v>
      </c>
      <c r="R39" s="75">
        <f t="shared" si="11"/>
        <v>13667.96</v>
      </c>
      <c r="S39" s="75">
        <f t="shared" si="11"/>
        <v>14335.16</v>
      </c>
      <c r="T39" s="75">
        <f t="shared" si="11"/>
        <v>14396.96</v>
      </c>
      <c r="U39" s="75">
        <f t="shared" si="11"/>
        <v>0</v>
      </c>
      <c r="V39" s="75">
        <f t="shared" si="11"/>
        <v>0</v>
      </c>
      <c r="W39" s="75">
        <f t="shared" si="11"/>
        <v>0</v>
      </c>
      <c r="X39" s="75">
        <f t="shared" si="11"/>
        <v>98174.720000000001</v>
      </c>
      <c r="AA39" s="65" t="str">
        <f t="shared" si="8"/>
        <v/>
      </c>
      <c r="AC39" s="64"/>
    </row>
    <row r="40" spans="1:29" x14ac:dyDescent="0.25">
      <c r="A40" s="64"/>
      <c r="B40" s="64"/>
      <c r="C40" s="64"/>
      <c r="D40" s="64" t="s">
        <v>78</v>
      </c>
      <c r="E40" s="64"/>
      <c r="F40" s="79"/>
      <c r="G40" s="79"/>
      <c r="H40" s="79"/>
      <c r="I40" s="79"/>
      <c r="J40" s="79"/>
      <c r="K40" s="79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AA40" s="65" t="str">
        <f t="shared" si="8"/>
        <v/>
      </c>
      <c r="AC40" s="64"/>
    </row>
    <row r="41" spans="1:29" x14ac:dyDescent="0.25">
      <c r="A41" s="64"/>
      <c r="B41" s="64"/>
      <c r="C41" s="64"/>
      <c r="D41" s="64"/>
      <c r="E41" s="64" t="s">
        <v>73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4">
        <v>12291.98</v>
      </c>
      <c r="M41" s="74">
        <v>11164.98</v>
      </c>
      <c r="N41" s="74">
        <v>12613.98</v>
      </c>
      <c r="O41" s="74">
        <v>12659.79</v>
      </c>
      <c r="P41" s="74">
        <v>11820.48</v>
      </c>
      <c r="Q41" s="74">
        <v>11394.98</v>
      </c>
      <c r="R41" s="74">
        <v>10112.73</v>
      </c>
      <c r="S41" s="74">
        <v>12119.18</v>
      </c>
      <c r="T41" s="74">
        <v>11918.23</v>
      </c>
      <c r="U41" s="74"/>
      <c r="V41" s="74"/>
      <c r="W41" s="74"/>
      <c r="X41" s="74">
        <f t="shared" ref="X41:X49" si="12">ROUND(SUM(L41:W41),5)</f>
        <v>106096.33</v>
      </c>
      <c r="AA41" s="65" t="str">
        <f t="shared" si="8"/>
        <v>7301100</v>
      </c>
      <c r="AB41" s="7">
        <v>7300</v>
      </c>
      <c r="AC41" s="64" t="s">
        <v>73</v>
      </c>
    </row>
    <row r="42" spans="1:29" x14ac:dyDescent="0.25">
      <c r="A42" s="64"/>
      <c r="B42" s="64"/>
      <c r="C42" s="64"/>
      <c r="D42" s="64"/>
      <c r="E42" s="64" t="s">
        <v>79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4">
        <v>414.37</v>
      </c>
      <c r="M42" s="74">
        <v>591.15</v>
      </c>
      <c r="N42" s="74">
        <v>964.95</v>
      </c>
      <c r="O42" s="74">
        <v>890.2</v>
      </c>
      <c r="P42" s="74">
        <v>904.27</v>
      </c>
      <c r="Q42" s="74">
        <v>871.73</v>
      </c>
      <c r="R42" s="74">
        <v>773.62</v>
      </c>
      <c r="S42" s="74">
        <v>927.13</v>
      </c>
      <c r="T42" s="74">
        <v>911.73</v>
      </c>
      <c r="U42" s="74"/>
      <c r="V42" s="74"/>
      <c r="W42" s="74"/>
      <c r="X42" s="74">
        <f t="shared" si="12"/>
        <v>7249.15</v>
      </c>
      <c r="AA42" s="65" t="str">
        <f t="shared" si="8"/>
        <v>7302200</v>
      </c>
      <c r="AB42" s="7">
        <v>7300</v>
      </c>
      <c r="AC42" s="64" t="s">
        <v>79</v>
      </c>
    </row>
    <row r="43" spans="1:29" x14ac:dyDescent="0.25">
      <c r="A43" s="64"/>
      <c r="B43" s="64"/>
      <c r="C43" s="64"/>
      <c r="D43" s="64"/>
      <c r="E43" s="64" t="s">
        <v>80</v>
      </c>
      <c r="F43" s="79">
        <v>0</v>
      </c>
      <c r="G43" s="79">
        <v>0</v>
      </c>
      <c r="H43" s="101">
        <v>0</v>
      </c>
      <c r="I43" s="79">
        <v>0</v>
      </c>
      <c r="J43" s="79">
        <v>0</v>
      </c>
      <c r="K43" s="79">
        <v>0</v>
      </c>
      <c r="L43" s="74">
        <v>0</v>
      </c>
      <c r="M43" s="74">
        <v>409.98</v>
      </c>
      <c r="N43" s="74">
        <v>0</v>
      </c>
      <c r="O43" s="74">
        <v>0</v>
      </c>
      <c r="P43" s="74">
        <v>6748.16</v>
      </c>
      <c r="Q43" s="74">
        <v>1639.93</v>
      </c>
      <c r="R43" s="74">
        <v>1639.93</v>
      </c>
      <c r="S43" s="74">
        <v>1639.93</v>
      </c>
      <c r="T43" s="74">
        <v>1639.93</v>
      </c>
      <c r="U43" s="74"/>
      <c r="V43" s="74"/>
      <c r="W43" s="74"/>
      <c r="X43" s="74">
        <f t="shared" si="12"/>
        <v>13717.86</v>
      </c>
      <c r="AA43" s="65" t="str">
        <f t="shared" si="8"/>
        <v>7302300</v>
      </c>
      <c r="AB43" s="7">
        <v>7300</v>
      </c>
      <c r="AC43" s="64" t="s">
        <v>80</v>
      </c>
    </row>
    <row r="44" spans="1:29" x14ac:dyDescent="0.25">
      <c r="A44" s="64"/>
      <c r="B44" s="64"/>
      <c r="C44" s="64"/>
      <c r="D44" s="64"/>
      <c r="E44" s="64" t="s">
        <v>81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4">
        <v>0</v>
      </c>
      <c r="M44" s="74">
        <v>0</v>
      </c>
      <c r="N44" s="74">
        <v>0</v>
      </c>
      <c r="O44" s="74">
        <v>539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/>
      <c r="V44" s="74"/>
      <c r="W44" s="74"/>
      <c r="X44" s="74">
        <f t="shared" si="12"/>
        <v>539</v>
      </c>
      <c r="AA44" s="65" t="str">
        <f t="shared" si="8"/>
        <v>7302400</v>
      </c>
      <c r="AB44" s="7">
        <v>7300</v>
      </c>
      <c r="AC44" s="64" t="s">
        <v>81</v>
      </c>
    </row>
    <row r="45" spans="1:29" x14ac:dyDescent="0.25">
      <c r="A45" s="64"/>
      <c r="B45" s="64"/>
      <c r="C45" s="64"/>
      <c r="D45" s="64"/>
      <c r="E45" s="64" t="s">
        <v>82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4">
        <v>146.24</v>
      </c>
      <c r="M45" s="74">
        <v>105.14</v>
      </c>
      <c r="N45" s="74">
        <v>194.33</v>
      </c>
      <c r="O45" s="74">
        <v>131.94</v>
      </c>
      <c r="P45" s="74">
        <v>82.87</v>
      </c>
      <c r="Q45" s="74">
        <v>53.15</v>
      </c>
      <c r="R45" s="74">
        <v>273.04000000000002</v>
      </c>
      <c r="S45" s="74">
        <v>223.75</v>
      </c>
      <c r="T45" s="74">
        <v>106.8</v>
      </c>
      <c r="U45" s="74"/>
      <c r="V45" s="74"/>
      <c r="W45" s="74"/>
      <c r="X45" s="74">
        <f t="shared" si="12"/>
        <v>1317.26</v>
      </c>
      <c r="AA45" s="65" t="str">
        <f t="shared" si="8"/>
        <v>7302500</v>
      </c>
      <c r="AB45" s="7">
        <v>7300</v>
      </c>
      <c r="AC45" s="64" t="s">
        <v>82</v>
      </c>
    </row>
    <row r="46" spans="1:29" x14ac:dyDescent="0.25">
      <c r="A46" s="64"/>
      <c r="B46" s="64"/>
      <c r="C46" s="64"/>
      <c r="D46" s="64"/>
      <c r="E46" s="64" t="s">
        <v>56</v>
      </c>
      <c r="F46" s="79">
        <v>2500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4">
        <v>0</v>
      </c>
      <c r="M46" s="74">
        <v>0</v>
      </c>
      <c r="N46" s="74">
        <v>0</v>
      </c>
      <c r="O46" s="74">
        <v>175.36</v>
      </c>
      <c r="P46" s="74">
        <v>0</v>
      </c>
      <c r="Q46" s="74">
        <v>0</v>
      </c>
      <c r="R46" s="74">
        <v>0</v>
      </c>
      <c r="S46" s="74">
        <v>0</v>
      </c>
      <c r="T46" s="74">
        <v>0</v>
      </c>
      <c r="U46" s="74"/>
      <c r="V46" s="74"/>
      <c r="W46" s="74"/>
      <c r="X46" s="74">
        <f t="shared" si="12"/>
        <v>175.36</v>
      </c>
      <c r="AA46" s="65" t="str">
        <f t="shared" si="8"/>
        <v>7303300</v>
      </c>
      <c r="AB46" s="7">
        <v>7300</v>
      </c>
      <c r="AC46" s="64" t="s">
        <v>56</v>
      </c>
    </row>
    <row r="47" spans="1:29" x14ac:dyDescent="0.25">
      <c r="A47" s="64"/>
      <c r="B47" s="64"/>
      <c r="C47" s="64"/>
      <c r="D47" s="64"/>
      <c r="E47" s="64" t="s">
        <v>62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4">
        <v>0</v>
      </c>
      <c r="M47" s="74">
        <v>1525.48</v>
      </c>
      <c r="N47" s="74">
        <v>706.91</v>
      </c>
      <c r="O47" s="74">
        <v>0</v>
      </c>
      <c r="P47" s="74">
        <v>3181.96</v>
      </c>
      <c r="Q47" s="74">
        <v>124.86</v>
      </c>
      <c r="R47" s="74">
        <v>0</v>
      </c>
      <c r="S47" s="74">
        <v>0</v>
      </c>
      <c r="T47" s="74">
        <v>0</v>
      </c>
      <c r="U47" s="74"/>
      <c r="V47" s="74"/>
      <c r="W47" s="74"/>
      <c r="X47" s="74">
        <f t="shared" si="12"/>
        <v>5539.21</v>
      </c>
      <c r="AA47" s="65" t="str">
        <f t="shared" si="8"/>
        <v>7305100</v>
      </c>
      <c r="AB47" s="7">
        <v>7300</v>
      </c>
      <c r="AC47" s="64" t="s">
        <v>62</v>
      </c>
    </row>
    <row r="48" spans="1:29" x14ac:dyDescent="0.25">
      <c r="A48" s="64"/>
      <c r="B48" s="64"/>
      <c r="C48" s="64"/>
      <c r="D48" s="64"/>
      <c r="E48" s="64" t="s">
        <v>61</v>
      </c>
      <c r="F48" s="79"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4">
        <v>0</v>
      </c>
      <c r="M48" s="74">
        <v>480.64</v>
      </c>
      <c r="N48" s="74">
        <v>0</v>
      </c>
      <c r="O48" s="74">
        <v>0</v>
      </c>
      <c r="P48" s="74">
        <v>0</v>
      </c>
      <c r="Q48" s="74">
        <v>0</v>
      </c>
      <c r="R48" s="74">
        <v>0</v>
      </c>
      <c r="S48" s="74">
        <v>0</v>
      </c>
      <c r="T48" s="74">
        <v>0</v>
      </c>
      <c r="U48" s="74"/>
      <c r="V48" s="74"/>
      <c r="W48" s="74"/>
      <c r="X48" s="74">
        <f t="shared" si="12"/>
        <v>480.64</v>
      </c>
      <c r="AA48" s="65" t="str">
        <f t="shared" ref="AA48" si="13">LEFT(E48,7)</f>
        <v>7306420</v>
      </c>
      <c r="AB48" s="7">
        <v>7300</v>
      </c>
      <c r="AC48" s="64" t="s">
        <v>61</v>
      </c>
    </row>
    <row r="49" spans="1:29" x14ac:dyDescent="0.25">
      <c r="A49" s="64"/>
      <c r="B49" s="64"/>
      <c r="C49" s="64"/>
      <c r="D49" s="64"/>
      <c r="E49" s="64" t="s">
        <v>263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4">
        <v>0</v>
      </c>
      <c r="M49" s="74">
        <v>0</v>
      </c>
      <c r="N49" s="74">
        <v>0</v>
      </c>
      <c r="O49" s="74">
        <v>0</v>
      </c>
      <c r="P49" s="74">
        <v>0</v>
      </c>
      <c r="Q49" s="74">
        <v>0</v>
      </c>
      <c r="R49" s="74">
        <v>696.61</v>
      </c>
      <c r="S49" s="74">
        <v>216.16</v>
      </c>
      <c r="T49" s="74">
        <v>216.16</v>
      </c>
      <c r="U49" s="74"/>
      <c r="V49" s="74"/>
      <c r="W49" s="74"/>
      <c r="X49" s="74">
        <f t="shared" si="12"/>
        <v>1128.93</v>
      </c>
      <c r="AA49" s="65" t="str">
        <f t="shared" si="8"/>
        <v>7307300</v>
      </c>
      <c r="AB49" s="7">
        <v>7300</v>
      </c>
      <c r="AC49" s="90" t="str">
        <f>E49</f>
        <v>7307300 · Dues &amp; Fees 7300</v>
      </c>
    </row>
    <row r="50" spans="1:29" x14ac:dyDescent="0.25">
      <c r="A50" s="64"/>
      <c r="B50" s="64"/>
      <c r="C50" s="64"/>
      <c r="D50" s="64" t="s">
        <v>83</v>
      </c>
      <c r="E50" s="64"/>
      <c r="F50" s="83">
        <f t="shared" ref="F50:X50" si="14">ROUND(SUM(F40:F49),5)</f>
        <v>2500</v>
      </c>
      <c r="G50" s="83">
        <f t="shared" si="14"/>
        <v>0</v>
      </c>
      <c r="H50" s="83">
        <f t="shared" si="14"/>
        <v>0</v>
      </c>
      <c r="I50" s="83">
        <f t="shared" si="14"/>
        <v>0</v>
      </c>
      <c r="J50" s="83">
        <f t="shared" si="14"/>
        <v>0</v>
      </c>
      <c r="K50" s="83">
        <f t="shared" si="14"/>
        <v>0</v>
      </c>
      <c r="L50" s="75">
        <f t="shared" si="14"/>
        <v>12852.59</v>
      </c>
      <c r="M50" s="75">
        <f t="shared" si="14"/>
        <v>14277.37</v>
      </c>
      <c r="N50" s="75">
        <f t="shared" si="14"/>
        <v>14480.17</v>
      </c>
      <c r="O50" s="75">
        <f t="shared" si="14"/>
        <v>14396.29</v>
      </c>
      <c r="P50" s="75">
        <f t="shared" si="14"/>
        <v>22737.74</v>
      </c>
      <c r="Q50" s="75">
        <f t="shared" si="14"/>
        <v>14084.65</v>
      </c>
      <c r="R50" s="75">
        <f t="shared" si="14"/>
        <v>13495.93</v>
      </c>
      <c r="S50" s="75">
        <f t="shared" si="14"/>
        <v>15126.15</v>
      </c>
      <c r="T50" s="75">
        <f t="shared" si="14"/>
        <v>14792.85</v>
      </c>
      <c r="U50" s="75">
        <f t="shared" si="14"/>
        <v>0</v>
      </c>
      <c r="V50" s="75">
        <f t="shared" si="14"/>
        <v>0</v>
      </c>
      <c r="W50" s="75">
        <f t="shared" si="14"/>
        <v>0</v>
      </c>
      <c r="X50" s="75">
        <f t="shared" si="14"/>
        <v>136243.74</v>
      </c>
      <c r="AA50" s="65" t="str">
        <f t="shared" si="8"/>
        <v/>
      </c>
      <c r="AC50" s="64"/>
    </row>
    <row r="51" spans="1:29" x14ac:dyDescent="0.25">
      <c r="A51" s="64"/>
      <c r="B51" s="64"/>
      <c r="C51" s="64"/>
      <c r="D51" s="64" t="s">
        <v>84</v>
      </c>
      <c r="E51" s="64"/>
      <c r="F51" s="79"/>
      <c r="G51" s="79"/>
      <c r="H51" s="79"/>
      <c r="I51" s="79"/>
      <c r="J51" s="79"/>
      <c r="K51" s="79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AA51" s="65" t="str">
        <f t="shared" si="8"/>
        <v/>
      </c>
      <c r="AC51" s="64"/>
    </row>
    <row r="52" spans="1:29" x14ac:dyDescent="0.25">
      <c r="A52" s="64"/>
      <c r="B52" s="64"/>
      <c r="C52" s="64"/>
      <c r="D52" s="64"/>
      <c r="E52" s="64" t="s">
        <v>57</v>
      </c>
      <c r="F52" s="79">
        <v>0</v>
      </c>
      <c r="G52" s="79">
        <v>0</v>
      </c>
      <c r="H52" s="79">
        <v>10</v>
      </c>
      <c r="I52" s="79">
        <v>10</v>
      </c>
      <c r="J52" s="79">
        <v>10</v>
      </c>
      <c r="K52" s="79">
        <v>10</v>
      </c>
      <c r="L52" s="74">
        <v>10</v>
      </c>
      <c r="M52" s="74">
        <v>10</v>
      </c>
      <c r="N52" s="74">
        <v>10</v>
      </c>
      <c r="O52" s="74">
        <v>0</v>
      </c>
      <c r="P52" s="74">
        <v>30</v>
      </c>
      <c r="Q52" s="74">
        <v>0</v>
      </c>
      <c r="R52" s="74">
        <v>0</v>
      </c>
      <c r="S52" s="74">
        <v>0</v>
      </c>
      <c r="T52" s="74">
        <v>0</v>
      </c>
      <c r="U52" s="74"/>
      <c r="V52" s="74"/>
      <c r="W52" s="74"/>
      <c r="X52" s="74">
        <f t="shared" ref="X52:X53" si="15">ROUND(SUM(L52:W52),5)</f>
        <v>60</v>
      </c>
      <c r="AA52" s="65" t="str">
        <f t="shared" si="8"/>
        <v>7507300</v>
      </c>
      <c r="AB52" s="7">
        <v>7500</v>
      </c>
      <c r="AC52" s="64" t="s">
        <v>57</v>
      </c>
    </row>
    <row r="53" spans="1:29" x14ac:dyDescent="0.25">
      <c r="A53" s="64"/>
      <c r="B53" s="64"/>
      <c r="C53" s="64"/>
      <c r="D53" s="64"/>
      <c r="E53" s="64" t="s">
        <v>85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4">
        <v>4220</v>
      </c>
      <c r="M53" s="74">
        <v>4220</v>
      </c>
      <c r="N53" s="74">
        <v>4220</v>
      </c>
      <c r="O53" s="74">
        <v>4220</v>
      </c>
      <c r="P53" s="74">
        <v>4220</v>
      </c>
      <c r="Q53" s="74">
        <v>4551</v>
      </c>
      <c r="R53" s="74">
        <v>4551</v>
      </c>
      <c r="S53" s="74">
        <v>4850</v>
      </c>
      <c r="T53" s="74">
        <v>4850</v>
      </c>
      <c r="U53" s="74"/>
      <c r="V53" s="74"/>
      <c r="W53" s="74"/>
      <c r="X53" s="74">
        <f t="shared" si="15"/>
        <v>39902</v>
      </c>
      <c r="AA53" s="65" t="str">
        <f t="shared" si="8"/>
        <v>7507310</v>
      </c>
      <c r="AB53" s="7">
        <v>7500</v>
      </c>
      <c r="AC53" s="64" t="s">
        <v>85</v>
      </c>
    </row>
    <row r="54" spans="1:29" x14ac:dyDescent="0.25">
      <c r="A54" s="64"/>
      <c r="B54" s="64"/>
      <c r="C54" s="64"/>
      <c r="D54" s="64" t="s">
        <v>86</v>
      </c>
      <c r="E54" s="64"/>
      <c r="F54" s="83">
        <f t="shared" ref="F54:X54" si="16">ROUND(SUM(F51:F53),5)</f>
        <v>0</v>
      </c>
      <c r="G54" s="83">
        <f t="shared" si="16"/>
        <v>0</v>
      </c>
      <c r="H54" s="83">
        <f t="shared" si="16"/>
        <v>10</v>
      </c>
      <c r="I54" s="83">
        <f t="shared" si="16"/>
        <v>10</v>
      </c>
      <c r="J54" s="83">
        <f t="shared" si="16"/>
        <v>10</v>
      </c>
      <c r="K54" s="83">
        <f t="shared" si="16"/>
        <v>10</v>
      </c>
      <c r="L54" s="75">
        <f t="shared" si="16"/>
        <v>4230</v>
      </c>
      <c r="M54" s="75">
        <f t="shared" si="16"/>
        <v>4230</v>
      </c>
      <c r="N54" s="75">
        <f t="shared" si="16"/>
        <v>4230</v>
      </c>
      <c r="O54" s="75">
        <f t="shared" si="16"/>
        <v>4220</v>
      </c>
      <c r="P54" s="75">
        <f t="shared" si="16"/>
        <v>4250</v>
      </c>
      <c r="Q54" s="75">
        <f t="shared" si="16"/>
        <v>4551</v>
      </c>
      <c r="R54" s="75">
        <f t="shared" si="16"/>
        <v>4551</v>
      </c>
      <c r="S54" s="75">
        <f t="shared" si="16"/>
        <v>4850</v>
      </c>
      <c r="T54" s="75">
        <f t="shared" si="16"/>
        <v>4850</v>
      </c>
      <c r="U54" s="75">
        <f t="shared" si="16"/>
        <v>0</v>
      </c>
      <c r="V54" s="75">
        <f t="shared" si="16"/>
        <v>0</v>
      </c>
      <c r="W54" s="75">
        <f t="shared" si="16"/>
        <v>0</v>
      </c>
      <c r="X54" s="75">
        <f t="shared" si="16"/>
        <v>39962</v>
      </c>
      <c r="AA54" s="65" t="str">
        <f t="shared" si="8"/>
        <v/>
      </c>
      <c r="AC54" s="64"/>
    </row>
    <row r="55" spans="1:29" x14ac:dyDescent="0.25">
      <c r="A55" s="64"/>
      <c r="B55" s="64"/>
      <c r="C55" s="64"/>
      <c r="D55" s="64" t="s">
        <v>87</v>
      </c>
      <c r="E55" s="64"/>
      <c r="F55" s="79"/>
      <c r="G55" s="79"/>
      <c r="H55" s="79"/>
      <c r="I55" s="79"/>
      <c r="J55" s="79"/>
      <c r="K55" s="79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AA55" s="65" t="str">
        <f t="shared" si="8"/>
        <v/>
      </c>
      <c r="AC55" s="64"/>
    </row>
    <row r="56" spans="1:29" x14ac:dyDescent="0.25">
      <c r="A56" s="64"/>
      <c r="B56" s="64"/>
      <c r="C56" s="64"/>
      <c r="D56" s="64"/>
      <c r="E56" s="64" t="s">
        <v>66</v>
      </c>
      <c r="F56" s="79">
        <v>0</v>
      </c>
      <c r="G56" s="79">
        <v>0</v>
      </c>
      <c r="H56" s="79">
        <v>0</v>
      </c>
      <c r="I56" s="79">
        <v>0</v>
      </c>
      <c r="J56" s="79">
        <v>0</v>
      </c>
      <c r="K56" s="79">
        <v>0</v>
      </c>
      <c r="L56" s="74">
        <v>0</v>
      </c>
      <c r="M56" s="74">
        <v>0</v>
      </c>
      <c r="N56" s="74">
        <v>5411.5</v>
      </c>
      <c r="O56" s="74">
        <v>8757</v>
      </c>
      <c r="P56" s="74">
        <v>19460</v>
      </c>
      <c r="Q56" s="74">
        <v>4865</v>
      </c>
      <c r="R56" s="74">
        <v>7342.5</v>
      </c>
      <c r="S56" s="74">
        <v>9300.5</v>
      </c>
      <c r="T56" s="74">
        <v>8811</v>
      </c>
      <c r="U56" s="74"/>
      <c r="V56" s="74"/>
      <c r="W56" s="74"/>
      <c r="X56" s="74">
        <f t="shared" ref="X56" si="17">ROUND(SUM(L56:W56),5)</f>
        <v>63947.5</v>
      </c>
      <c r="AA56" s="65" t="str">
        <f t="shared" si="8"/>
        <v>7605700</v>
      </c>
      <c r="AB56" s="7">
        <v>7600</v>
      </c>
      <c r="AC56" s="64" t="s">
        <v>66</v>
      </c>
    </row>
    <row r="57" spans="1:29" x14ac:dyDescent="0.25">
      <c r="A57" s="64"/>
      <c r="B57" s="64"/>
      <c r="C57" s="64"/>
      <c r="D57" s="64" t="s">
        <v>88</v>
      </c>
      <c r="E57" s="64"/>
      <c r="F57" s="83">
        <f t="shared" ref="F57:X57" si="18">ROUND(SUM(F55:F56),5)</f>
        <v>0</v>
      </c>
      <c r="G57" s="83">
        <f t="shared" si="18"/>
        <v>0</v>
      </c>
      <c r="H57" s="83">
        <f t="shared" si="18"/>
        <v>0</v>
      </c>
      <c r="I57" s="83">
        <f t="shared" si="18"/>
        <v>0</v>
      </c>
      <c r="J57" s="83">
        <f t="shared" si="18"/>
        <v>0</v>
      </c>
      <c r="K57" s="83">
        <f t="shared" si="18"/>
        <v>0</v>
      </c>
      <c r="L57" s="75">
        <f t="shared" si="18"/>
        <v>0</v>
      </c>
      <c r="M57" s="75">
        <f t="shared" si="18"/>
        <v>0</v>
      </c>
      <c r="N57" s="75">
        <f t="shared" si="18"/>
        <v>5411.5</v>
      </c>
      <c r="O57" s="75">
        <f t="shared" si="18"/>
        <v>8757</v>
      </c>
      <c r="P57" s="75">
        <f t="shared" si="18"/>
        <v>19460</v>
      </c>
      <c r="Q57" s="75">
        <f t="shared" si="18"/>
        <v>4865</v>
      </c>
      <c r="R57" s="75">
        <f t="shared" si="18"/>
        <v>7342.5</v>
      </c>
      <c r="S57" s="75">
        <f t="shared" si="18"/>
        <v>9300.5</v>
      </c>
      <c r="T57" s="75">
        <f t="shared" si="18"/>
        <v>8811</v>
      </c>
      <c r="U57" s="75">
        <f t="shared" si="18"/>
        <v>0</v>
      </c>
      <c r="V57" s="75">
        <f t="shared" si="18"/>
        <v>0</v>
      </c>
      <c r="W57" s="75">
        <f t="shared" si="18"/>
        <v>0</v>
      </c>
      <c r="X57" s="75">
        <f t="shared" si="18"/>
        <v>63947.5</v>
      </c>
      <c r="AA57" s="65" t="str">
        <f t="shared" si="8"/>
        <v/>
      </c>
      <c r="AC57" s="64"/>
    </row>
    <row r="58" spans="1:29" x14ac:dyDescent="0.25">
      <c r="A58" s="64"/>
      <c r="B58" s="64"/>
      <c r="C58" s="64"/>
      <c r="D58" s="64" t="s">
        <v>124</v>
      </c>
      <c r="E58" s="64"/>
      <c r="F58" s="79"/>
      <c r="G58" s="79"/>
      <c r="H58" s="79"/>
      <c r="I58" s="79"/>
      <c r="J58" s="79"/>
      <c r="K58" s="79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AC58" s="64"/>
    </row>
    <row r="59" spans="1:29" x14ac:dyDescent="0.25">
      <c r="A59" s="64"/>
      <c r="B59" s="64"/>
      <c r="C59" s="64"/>
      <c r="D59" s="64"/>
      <c r="E59" s="64" t="s">
        <v>125</v>
      </c>
      <c r="F59" s="79">
        <v>0</v>
      </c>
      <c r="G59" s="79">
        <v>0</v>
      </c>
      <c r="H59" s="79">
        <v>0</v>
      </c>
      <c r="I59" s="79">
        <v>0</v>
      </c>
      <c r="J59" s="79">
        <v>0</v>
      </c>
      <c r="K59" s="79">
        <v>0</v>
      </c>
      <c r="L59" s="74">
        <v>0</v>
      </c>
      <c r="M59" s="74">
        <v>0</v>
      </c>
      <c r="N59" s="74">
        <v>0</v>
      </c>
      <c r="O59" s="74">
        <v>0</v>
      </c>
      <c r="P59" s="74">
        <v>425</v>
      </c>
      <c r="Q59" s="74">
        <v>1073</v>
      </c>
      <c r="R59" s="74">
        <v>191</v>
      </c>
      <c r="S59" s="74">
        <v>8</v>
      </c>
      <c r="T59" s="74">
        <v>319</v>
      </c>
      <c r="U59" s="74"/>
      <c r="V59" s="74"/>
      <c r="W59" s="74"/>
      <c r="X59" s="74">
        <f t="shared" ref="X59:X60" si="19">ROUND(SUM(L59:W59),5)</f>
        <v>2016</v>
      </c>
      <c r="AA59" s="65" t="str">
        <f t="shared" si="8"/>
        <v>7723110</v>
      </c>
      <c r="AB59" s="7">
        <v>7700</v>
      </c>
      <c r="AC59" s="64" t="s">
        <v>125</v>
      </c>
    </row>
    <row r="60" spans="1:29" x14ac:dyDescent="0.25">
      <c r="A60" s="64"/>
      <c r="B60" s="64"/>
      <c r="C60" s="64"/>
      <c r="D60" s="64"/>
      <c r="E60" s="64" t="s">
        <v>277</v>
      </c>
      <c r="F60" s="79"/>
      <c r="G60" s="79"/>
      <c r="H60" s="79"/>
      <c r="I60" s="79"/>
      <c r="J60" s="79"/>
      <c r="K60" s="79"/>
      <c r="L60" s="74">
        <v>0</v>
      </c>
      <c r="M60" s="74">
        <v>0</v>
      </c>
      <c r="N60" s="74">
        <v>0</v>
      </c>
      <c r="O60" s="74">
        <v>0</v>
      </c>
      <c r="P60" s="74">
        <v>0</v>
      </c>
      <c r="Q60" s="74">
        <v>0</v>
      </c>
      <c r="R60" s="74">
        <v>0</v>
      </c>
      <c r="S60" s="74">
        <v>0</v>
      </c>
      <c r="T60" s="74">
        <v>51.79</v>
      </c>
      <c r="U60" s="74"/>
      <c r="V60" s="74"/>
      <c r="W60" s="74"/>
      <c r="X60" s="74">
        <f t="shared" si="19"/>
        <v>51.79</v>
      </c>
      <c r="AA60" s="65" t="str">
        <f t="shared" si="8"/>
        <v>7723120</v>
      </c>
      <c r="AB60" s="7">
        <v>7700</v>
      </c>
      <c r="AC60" s="90" t="str">
        <f>E60</f>
        <v>7723120 · Marketing</v>
      </c>
    </row>
    <row r="61" spans="1:29" x14ac:dyDescent="0.25">
      <c r="A61" s="64"/>
      <c r="B61" s="64"/>
      <c r="C61" s="64"/>
      <c r="D61" s="64" t="s">
        <v>126</v>
      </c>
      <c r="E61" s="64"/>
      <c r="F61" s="83">
        <f t="shared" ref="F61:K61" si="20">ROUND(SUM(F58:F59),5)</f>
        <v>0</v>
      </c>
      <c r="G61" s="83">
        <f t="shared" si="20"/>
        <v>0</v>
      </c>
      <c r="H61" s="83">
        <f t="shared" si="20"/>
        <v>0</v>
      </c>
      <c r="I61" s="83">
        <f t="shared" si="20"/>
        <v>0</v>
      </c>
      <c r="J61" s="83">
        <f t="shared" si="20"/>
        <v>0</v>
      </c>
      <c r="K61" s="83">
        <f t="shared" si="20"/>
        <v>0</v>
      </c>
      <c r="L61" s="75">
        <f t="shared" ref="L61:W61" si="21">ROUND(SUM(L58:L60),5)</f>
        <v>0</v>
      </c>
      <c r="M61" s="75">
        <f t="shared" si="21"/>
        <v>0</v>
      </c>
      <c r="N61" s="75">
        <f t="shared" si="21"/>
        <v>0</v>
      </c>
      <c r="O61" s="75">
        <f t="shared" si="21"/>
        <v>0</v>
      </c>
      <c r="P61" s="75">
        <f t="shared" si="21"/>
        <v>425</v>
      </c>
      <c r="Q61" s="75">
        <f t="shared" si="21"/>
        <v>1073</v>
      </c>
      <c r="R61" s="75">
        <f t="shared" si="21"/>
        <v>191</v>
      </c>
      <c r="S61" s="75">
        <f t="shared" si="21"/>
        <v>8</v>
      </c>
      <c r="T61" s="75">
        <f t="shared" si="21"/>
        <v>370.79</v>
      </c>
      <c r="U61" s="75">
        <f t="shared" si="21"/>
        <v>0</v>
      </c>
      <c r="V61" s="75">
        <f t="shared" si="21"/>
        <v>0</v>
      </c>
      <c r="W61" s="75">
        <f t="shared" si="21"/>
        <v>0</v>
      </c>
      <c r="X61" s="75">
        <f>ROUND(SUM(X58:X60),5)</f>
        <v>2067.79</v>
      </c>
      <c r="AC61" s="64"/>
    </row>
    <row r="62" spans="1:29" x14ac:dyDescent="0.25">
      <c r="A62" s="64"/>
      <c r="B62" s="64"/>
      <c r="C62" s="64"/>
      <c r="D62" s="64" t="s">
        <v>89</v>
      </c>
      <c r="E62" s="64"/>
      <c r="F62" s="79"/>
      <c r="G62" s="79"/>
      <c r="H62" s="79"/>
      <c r="I62" s="79"/>
      <c r="J62" s="79"/>
      <c r="K62" s="79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AA62" s="65" t="str">
        <f t="shared" ref="AA62:AA68" si="22">LEFT(E62,7)</f>
        <v/>
      </c>
      <c r="AC62" s="64"/>
    </row>
    <row r="63" spans="1:29" x14ac:dyDescent="0.25">
      <c r="A63" s="64"/>
      <c r="B63" s="64"/>
      <c r="C63" s="64"/>
      <c r="D63" s="64"/>
      <c r="E63" s="64" t="s">
        <v>68</v>
      </c>
      <c r="F63" s="79">
        <v>0</v>
      </c>
      <c r="G63" s="79">
        <v>0</v>
      </c>
      <c r="H63" s="79">
        <v>0</v>
      </c>
      <c r="I63" s="79">
        <v>0</v>
      </c>
      <c r="J63" s="79">
        <v>0</v>
      </c>
      <c r="K63" s="79">
        <v>0</v>
      </c>
      <c r="L63" s="74">
        <v>0</v>
      </c>
      <c r="M63" s="74">
        <v>0</v>
      </c>
      <c r="N63" s="74">
        <v>0</v>
      </c>
      <c r="O63" s="74">
        <v>5212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/>
      <c r="V63" s="74"/>
      <c r="W63" s="74"/>
      <c r="X63" s="74">
        <f t="shared" ref="X63:X70" si="23">ROUND(SUM(L63:W63),5)</f>
        <v>5212</v>
      </c>
      <c r="AA63" s="65" t="str">
        <f t="shared" si="22"/>
        <v>7903200</v>
      </c>
      <c r="AB63" s="7">
        <v>7900</v>
      </c>
      <c r="AC63" s="64" t="s">
        <v>68</v>
      </c>
    </row>
    <row r="64" spans="1:29" x14ac:dyDescent="0.25">
      <c r="A64" s="64"/>
      <c r="B64" s="64"/>
      <c r="C64" s="64"/>
      <c r="D64" s="64"/>
      <c r="E64" s="64" t="s">
        <v>65</v>
      </c>
      <c r="F64" s="79">
        <v>0</v>
      </c>
      <c r="G64" s="79">
        <v>0</v>
      </c>
      <c r="H64" s="79">
        <v>0</v>
      </c>
      <c r="I64" s="79">
        <v>0</v>
      </c>
      <c r="J64" s="79">
        <v>0</v>
      </c>
      <c r="K64" s="79">
        <v>0</v>
      </c>
      <c r="L64" s="74">
        <v>0</v>
      </c>
      <c r="M64" s="74">
        <v>0</v>
      </c>
      <c r="N64" s="74">
        <v>133.75</v>
      </c>
      <c r="O64" s="74">
        <v>200</v>
      </c>
      <c r="P64" s="74">
        <v>461.03</v>
      </c>
      <c r="Q64" s="74">
        <v>0</v>
      </c>
      <c r="R64" s="74">
        <v>0</v>
      </c>
      <c r="S64" s="74">
        <v>0</v>
      </c>
      <c r="T64" s="74">
        <v>276.06</v>
      </c>
      <c r="U64" s="74"/>
      <c r="V64" s="74"/>
      <c r="W64" s="74"/>
      <c r="X64" s="74">
        <f t="shared" si="23"/>
        <v>1070.8399999999999</v>
      </c>
      <c r="AA64" s="65" t="str">
        <f t="shared" si="22"/>
        <v>7903520</v>
      </c>
      <c r="AB64" s="7">
        <v>7900</v>
      </c>
      <c r="AC64" s="64" t="s">
        <v>65</v>
      </c>
    </row>
    <row r="65" spans="1:31" x14ac:dyDescent="0.25">
      <c r="A65" s="64"/>
      <c r="B65" s="64"/>
      <c r="C65" s="64"/>
      <c r="D65" s="64"/>
      <c r="E65" s="64" t="s">
        <v>261</v>
      </c>
      <c r="F65" s="79">
        <v>0</v>
      </c>
      <c r="G65" s="79">
        <v>0</v>
      </c>
      <c r="H65" s="79">
        <v>0</v>
      </c>
      <c r="I65" s="79">
        <v>0</v>
      </c>
      <c r="J65" s="79">
        <v>0</v>
      </c>
      <c r="K65" s="79">
        <v>0</v>
      </c>
      <c r="L65" s="74">
        <v>0</v>
      </c>
      <c r="M65" s="74">
        <v>0</v>
      </c>
      <c r="N65" s="74">
        <v>4920</v>
      </c>
      <c r="O65" s="74">
        <v>2952</v>
      </c>
      <c r="P65" s="74">
        <v>16728</v>
      </c>
      <c r="Q65" s="74">
        <v>6232</v>
      </c>
      <c r="R65" s="74">
        <v>3772</v>
      </c>
      <c r="S65" s="74">
        <v>2747</v>
      </c>
      <c r="T65" s="74">
        <v>4920</v>
      </c>
      <c r="U65" s="74"/>
      <c r="V65" s="74"/>
      <c r="W65" s="74"/>
      <c r="X65" s="74">
        <f t="shared" si="23"/>
        <v>42271</v>
      </c>
      <c r="AA65" s="65" t="str">
        <f t="shared" si="22"/>
        <v>7903521</v>
      </c>
      <c r="AB65" s="7">
        <v>7900</v>
      </c>
      <c r="AC65" s="90" t="str">
        <f>E65</f>
        <v>7903521 · Security Services 7900</v>
      </c>
    </row>
    <row r="66" spans="1:31" x14ac:dyDescent="0.25">
      <c r="A66" s="64"/>
      <c r="B66" s="64"/>
      <c r="C66" s="64"/>
      <c r="D66" s="64"/>
      <c r="E66" s="64" t="s">
        <v>63</v>
      </c>
      <c r="F66" s="79">
        <v>0</v>
      </c>
      <c r="G66" s="79">
        <v>0</v>
      </c>
      <c r="H66" s="79">
        <v>0</v>
      </c>
      <c r="I66" s="79">
        <v>0</v>
      </c>
      <c r="J66" s="79">
        <v>0</v>
      </c>
      <c r="K66" s="79">
        <v>0</v>
      </c>
      <c r="L66" s="74">
        <v>0</v>
      </c>
      <c r="M66" s="74">
        <v>0</v>
      </c>
      <c r="N66" s="74">
        <v>150</v>
      </c>
      <c r="O66" s="74">
        <v>1333.75</v>
      </c>
      <c r="P66" s="74">
        <v>120</v>
      </c>
      <c r="Q66" s="74">
        <v>1480</v>
      </c>
      <c r="R66" s="74">
        <v>0</v>
      </c>
      <c r="S66" s="74">
        <v>180</v>
      </c>
      <c r="T66" s="74">
        <v>0</v>
      </c>
      <c r="U66" s="74"/>
      <c r="V66" s="74"/>
      <c r="W66" s="74"/>
      <c r="X66" s="74">
        <f t="shared" si="23"/>
        <v>3263.75</v>
      </c>
      <c r="AA66" s="65" t="str">
        <f t="shared" si="22"/>
        <v>7903530</v>
      </c>
      <c r="AB66" s="7">
        <v>7900</v>
      </c>
      <c r="AC66" s="64" t="s">
        <v>63</v>
      </c>
    </row>
    <row r="67" spans="1:31" x14ac:dyDescent="0.25">
      <c r="A67" s="64"/>
      <c r="B67" s="64"/>
      <c r="C67" s="64"/>
      <c r="D67" s="64"/>
      <c r="E67" s="64" t="s">
        <v>71</v>
      </c>
      <c r="F67" s="79">
        <v>0</v>
      </c>
      <c r="G67" s="79">
        <v>0</v>
      </c>
      <c r="H67" s="79">
        <v>0</v>
      </c>
      <c r="I67" s="79">
        <v>0</v>
      </c>
      <c r="J67" s="79">
        <v>0</v>
      </c>
      <c r="K67" s="79">
        <v>0</v>
      </c>
      <c r="L67" s="74">
        <v>0</v>
      </c>
      <c r="M67" s="74">
        <v>0</v>
      </c>
      <c r="N67" s="74">
        <v>22000</v>
      </c>
      <c r="O67" s="74">
        <v>22000</v>
      </c>
      <c r="P67" s="74">
        <v>22000</v>
      </c>
      <c r="Q67" s="74">
        <v>22000</v>
      </c>
      <c r="R67" s="74">
        <v>22000</v>
      </c>
      <c r="S67" s="74">
        <v>22000</v>
      </c>
      <c r="T67" s="74">
        <v>22000</v>
      </c>
      <c r="U67" s="74"/>
      <c r="V67" s="74"/>
      <c r="W67" s="74"/>
      <c r="X67" s="74">
        <f t="shared" si="23"/>
        <v>154000</v>
      </c>
      <c r="AA67" s="65" t="str">
        <f t="shared" si="22"/>
        <v>7903641</v>
      </c>
      <c r="AB67" s="7">
        <v>7900</v>
      </c>
      <c r="AC67" s="64" t="s">
        <v>71</v>
      </c>
    </row>
    <row r="68" spans="1:31" x14ac:dyDescent="0.25">
      <c r="A68" s="64"/>
      <c r="B68" s="64"/>
      <c r="C68" s="64"/>
      <c r="D68" s="64"/>
      <c r="E68" s="64" t="s">
        <v>69</v>
      </c>
      <c r="F68" s="79">
        <v>0</v>
      </c>
      <c r="G68" s="79">
        <v>0</v>
      </c>
      <c r="H68" s="79">
        <v>0</v>
      </c>
      <c r="I68" s="79">
        <v>0</v>
      </c>
      <c r="J68" s="79">
        <v>0</v>
      </c>
      <c r="K68" s="79">
        <v>0</v>
      </c>
      <c r="L68" s="74">
        <v>0</v>
      </c>
      <c r="M68" s="74">
        <v>0</v>
      </c>
      <c r="N68" s="74">
        <v>0</v>
      </c>
      <c r="O68" s="74">
        <v>1782.2</v>
      </c>
      <c r="P68" s="74">
        <v>-1782.2</v>
      </c>
      <c r="Q68" s="74">
        <v>695</v>
      </c>
      <c r="R68" s="74">
        <v>318.27</v>
      </c>
      <c r="S68" s="74">
        <v>1794.29</v>
      </c>
      <c r="T68" s="74">
        <v>365.62</v>
      </c>
      <c r="U68" s="74"/>
      <c r="V68" s="74"/>
      <c r="W68" s="74"/>
      <c r="X68" s="74">
        <f t="shared" si="23"/>
        <v>3173.18</v>
      </c>
      <c r="AA68" s="65" t="str">
        <f t="shared" si="22"/>
        <v>7905100</v>
      </c>
      <c r="AB68" s="7">
        <v>7900</v>
      </c>
      <c r="AC68" s="64" t="s">
        <v>69</v>
      </c>
    </row>
    <row r="69" spans="1:31" x14ac:dyDescent="0.25">
      <c r="A69" s="64"/>
      <c r="B69" s="64"/>
      <c r="C69" s="64"/>
      <c r="D69" s="64"/>
      <c r="E69" s="64" t="s">
        <v>127</v>
      </c>
      <c r="F69" s="79">
        <v>0</v>
      </c>
      <c r="G69" s="79">
        <v>0</v>
      </c>
      <c r="H69" s="79">
        <v>0</v>
      </c>
      <c r="I69" s="79">
        <v>0</v>
      </c>
      <c r="J69" s="79">
        <v>0</v>
      </c>
      <c r="K69" s="79">
        <v>0</v>
      </c>
      <c r="L69" s="74">
        <v>0</v>
      </c>
      <c r="M69" s="74">
        <v>0</v>
      </c>
      <c r="N69" s="74">
        <v>0</v>
      </c>
      <c r="O69" s="74">
        <v>0</v>
      </c>
      <c r="P69" s="74">
        <v>1926</v>
      </c>
      <c r="Q69" s="74">
        <v>0</v>
      </c>
      <c r="R69" s="74">
        <v>0</v>
      </c>
      <c r="S69" s="74">
        <v>270</v>
      </c>
      <c r="T69" s="74">
        <v>0</v>
      </c>
      <c r="U69" s="74"/>
      <c r="V69" s="74"/>
      <c r="W69" s="74"/>
      <c r="X69" s="74">
        <f t="shared" si="23"/>
        <v>2196</v>
      </c>
      <c r="AA69" s="65" t="str">
        <f t="shared" ref="AA69:AA78" si="24">LEFT(E69,7)</f>
        <v>7906420</v>
      </c>
      <c r="AB69" s="7">
        <v>7900</v>
      </c>
      <c r="AC69" s="64" t="s">
        <v>127</v>
      </c>
    </row>
    <row r="70" spans="1:31" x14ac:dyDescent="0.25">
      <c r="A70" s="64"/>
      <c r="B70" s="64"/>
      <c r="C70" s="64"/>
      <c r="D70" s="64"/>
      <c r="E70" s="64" t="s">
        <v>128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4">
        <v>0</v>
      </c>
      <c r="M70" s="74">
        <v>0</v>
      </c>
      <c r="N70" s="74">
        <v>0</v>
      </c>
      <c r="O70" s="74">
        <v>0</v>
      </c>
      <c r="P70" s="74">
        <v>500</v>
      </c>
      <c r="Q70" s="74">
        <v>0</v>
      </c>
      <c r="R70" s="74">
        <v>0</v>
      </c>
      <c r="S70" s="74">
        <v>0</v>
      </c>
      <c r="T70" s="74">
        <v>0</v>
      </c>
      <c r="U70" s="74"/>
      <c r="V70" s="74"/>
      <c r="W70" s="74"/>
      <c r="X70" s="74">
        <f t="shared" si="23"/>
        <v>500</v>
      </c>
      <c r="AA70" s="65" t="str">
        <f t="shared" si="24"/>
        <v>7907300</v>
      </c>
      <c r="AB70" s="7">
        <v>7900</v>
      </c>
      <c r="AC70" s="64" t="s">
        <v>128</v>
      </c>
    </row>
    <row r="71" spans="1:31" s="67" customFormat="1" x14ac:dyDescent="0.25">
      <c r="A71" s="64"/>
      <c r="B71" s="64"/>
      <c r="C71" s="64"/>
      <c r="D71" s="64" t="s">
        <v>90</v>
      </c>
      <c r="E71" s="64"/>
      <c r="F71" s="83">
        <f t="shared" ref="F71:X71" si="25">ROUND(SUM(F62:F70),5)</f>
        <v>0</v>
      </c>
      <c r="G71" s="83">
        <f t="shared" si="25"/>
        <v>0</v>
      </c>
      <c r="H71" s="83">
        <f t="shared" si="25"/>
        <v>0</v>
      </c>
      <c r="I71" s="83">
        <f t="shared" si="25"/>
        <v>0</v>
      </c>
      <c r="J71" s="83">
        <f t="shared" si="25"/>
        <v>0</v>
      </c>
      <c r="K71" s="83">
        <f t="shared" si="25"/>
        <v>0</v>
      </c>
      <c r="L71" s="75">
        <f t="shared" si="25"/>
        <v>0</v>
      </c>
      <c r="M71" s="75">
        <f t="shared" si="25"/>
        <v>0</v>
      </c>
      <c r="N71" s="75">
        <f t="shared" si="25"/>
        <v>27203.75</v>
      </c>
      <c r="O71" s="75">
        <f t="shared" si="25"/>
        <v>33479.949999999997</v>
      </c>
      <c r="P71" s="75">
        <f t="shared" si="25"/>
        <v>39952.83</v>
      </c>
      <c r="Q71" s="75">
        <f t="shared" si="25"/>
        <v>30407</v>
      </c>
      <c r="R71" s="75">
        <f t="shared" si="25"/>
        <v>26090.27</v>
      </c>
      <c r="S71" s="75">
        <f t="shared" si="25"/>
        <v>26991.29</v>
      </c>
      <c r="T71" s="75">
        <f t="shared" si="25"/>
        <v>27561.68</v>
      </c>
      <c r="U71" s="75">
        <f t="shared" si="25"/>
        <v>0</v>
      </c>
      <c r="V71" s="75">
        <f t="shared" si="25"/>
        <v>0</v>
      </c>
      <c r="W71" s="75">
        <f t="shared" si="25"/>
        <v>0</v>
      </c>
      <c r="X71" s="75">
        <f t="shared" si="25"/>
        <v>211686.77</v>
      </c>
      <c r="AA71" s="65" t="str">
        <f t="shared" si="24"/>
        <v/>
      </c>
      <c r="AB71" s="7"/>
      <c r="AC71" s="64"/>
      <c r="AE71" s="7"/>
    </row>
    <row r="72" spans="1:31" s="67" customFormat="1" x14ac:dyDescent="0.25">
      <c r="A72" s="64"/>
      <c r="B72" s="64"/>
      <c r="C72" s="64"/>
      <c r="D72" s="64" t="s">
        <v>91</v>
      </c>
      <c r="E72" s="64"/>
      <c r="F72" s="79"/>
      <c r="G72" s="79"/>
      <c r="H72" s="79"/>
      <c r="I72" s="79"/>
      <c r="J72" s="79"/>
      <c r="K72" s="79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AA72" s="65" t="str">
        <f t="shared" si="24"/>
        <v/>
      </c>
      <c r="AB72" s="7"/>
      <c r="AC72" s="64"/>
      <c r="AE72" s="7"/>
    </row>
    <row r="73" spans="1:31" s="67" customFormat="1" x14ac:dyDescent="0.25">
      <c r="A73" s="64"/>
      <c r="B73" s="64"/>
      <c r="C73" s="64"/>
      <c r="D73" s="64"/>
      <c r="E73" s="64" t="s">
        <v>64</v>
      </c>
      <c r="F73" s="79">
        <v>0</v>
      </c>
      <c r="G73" s="79">
        <v>0</v>
      </c>
      <c r="H73" s="79">
        <v>0</v>
      </c>
      <c r="I73" s="79">
        <v>0</v>
      </c>
      <c r="J73" s="79">
        <v>0</v>
      </c>
      <c r="K73" s="79">
        <v>0</v>
      </c>
      <c r="L73" s="74">
        <v>0</v>
      </c>
      <c r="M73" s="74">
        <v>0</v>
      </c>
      <c r="N73" s="74">
        <v>785.2</v>
      </c>
      <c r="O73" s="74">
        <v>819.3</v>
      </c>
      <c r="P73" s="74">
        <v>135</v>
      </c>
      <c r="Q73" s="74">
        <v>0</v>
      </c>
      <c r="R73" s="74">
        <v>317.7</v>
      </c>
      <c r="S73" s="74">
        <v>150</v>
      </c>
      <c r="T73" s="74">
        <v>171.2</v>
      </c>
      <c r="U73" s="74"/>
      <c r="V73" s="74"/>
      <c r="W73" s="74"/>
      <c r="X73" s="74">
        <f t="shared" ref="X73:X74" si="26">ROUND(SUM(L73:W73),5)</f>
        <v>2378.4</v>
      </c>
      <c r="AA73" s="65" t="str">
        <f t="shared" si="24"/>
        <v>8203511</v>
      </c>
      <c r="AB73" s="7">
        <v>8200</v>
      </c>
      <c r="AC73" s="64" t="s">
        <v>64</v>
      </c>
      <c r="AE73" s="7"/>
    </row>
    <row r="74" spans="1:31" x14ac:dyDescent="0.25">
      <c r="A74" s="64"/>
      <c r="B74" s="64"/>
      <c r="C74" s="64"/>
      <c r="D74" s="64"/>
      <c r="E74" s="64" t="s">
        <v>59</v>
      </c>
      <c r="F74" s="79">
        <v>0</v>
      </c>
      <c r="G74" s="79">
        <v>0</v>
      </c>
      <c r="H74" s="79">
        <v>0</v>
      </c>
      <c r="I74" s="79">
        <v>5275</v>
      </c>
      <c r="J74" s="79">
        <v>0</v>
      </c>
      <c r="K74" s="79">
        <v>0</v>
      </c>
      <c r="L74" s="74">
        <v>0</v>
      </c>
      <c r="M74" s="74">
        <v>0</v>
      </c>
      <c r="N74" s="74">
        <v>0</v>
      </c>
      <c r="O74" s="74">
        <v>0</v>
      </c>
      <c r="P74" s="74">
        <v>0</v>
      </c>
      <c r="Q74" s="74">
        <v>0</v>
      </c>
      <c r="R74" s="74">
        <v>0</v>
      </c>
      <c r="S74" s="74">
        <v>0</v>
      </c>
      <c r="T74" s="74">
        <v>0</v>
      </c>
      <c r="U74" s="74"/>
      <c r="V74" s="74"/>
      <c r="W74" s="74"/>
      <c r="X74" s="74">
        <f t="shared" si="26"/>
        <v>0</v>
      </c>
      <c r="AA74" s="65" t="str">
        <f t="shared" si="24"/>
        <v>8206301</v>
      </c>
      <c r="AB74" s="7">
        <v>8200</v>
      </c>
      <c r="AC74" s="64" t="s">
        <v>59</v>
      </c>
    </row>
    <row r="75" spans="1:31" x14ac:dyDescent="0.25">
      <c r="A75" s="64"/>
      <c r="B75" s="64"/>
      <c r="C75" s="64"/>
      <c r="D75" s="64" t="s">
        <v>92</v>
      </c>
      <c r="E75" s="64"/>
      <c r="F75" s="83">
        <f t="shared" ref="F75:P75" si="27">ROUND(SUM(F72:F74),5)</f>
        <v>0</v>
      </c>
      <c r="G75" s="83">
        <f t="shared" si="27"/>
        <v>0</v>
      </c>
      <c r="H75" s="83">
        <f t="shared" si="27"/>
        <v>0</v>
      </c>
      <c r="I75" s="83">
        <f t="shared" si="27"/>
        <v>5275</v>
      </c>
      <c r="J75" s="83">
        <f t="shared" si="27"/>
        <v>0</v>
      </c>
      <c r="K75" s="83">
        <f t="shared" si="27"/>
        <v>0</v>
      </c>
      <c r="L75" s="75">
        <f t="shared" si="27"/>
        <v>0</v>
      </c>
      <c r="M75" s="75">
        <f t="shared" si="27"/>
        <v>0</v>
      </c>
      <c r="N75" s="75">
        <f t="shared" si="27"/>
        <v>785.2</v>
      </c>
      <c r="O75" s="75">
        <f t="shared" si="27"/>
        <v>819.3</v>
      </c>
      <c r="P75" s="75">
        <f t="shared" si="27"/>
        <v>135</v>
      </c>
      <c r="Q75" s="75">
        <f t="shared" ref="Q75:X75" si="28">ROUND(SUM(Q72:Q74),5)</f>
        <v>0</v>
      </c>
      <c r="R75" s="75">
        <f t="shared" si="28"/>
        <v>317.7</v>
      </c>
      <c r="S75" s="75">
        <f t="shared" si="28"/>
        <v>150</v>
      </c>
      <c r="T75" s="75">
        <f t="shared" si="28"/>
        <v>171.2</v>
      </c>
      <c r="U75" s="75">
        <f t="shared" si="28"/>
        <v>0</v>
      </c>
      <c r="V75" s="75">
        <f t="shared" si="28"/>
        <v>0</v>
      </c>
      <c r="W75" s="75">
        <f t="shared" si="28"/>
        <v>0</v>
      </c>
      <c r="X75" s="75">
        <f t="shared" si="28"/>
        <v>2378.4</v>
      </c>
      <c r="AA75" s="65" t="str">
        <f t="shared" si="24"/>
        <v/>
      </c>
      <c r="AC75" s="64"/>
    </row>
    <row r="76" spans="1:31" x14ac:dyDescent="0.25">
      <c r="A76" s="64"/>
      <c r="B76" s="64"/>
      <c r="C76" s="64" t="s">
        <v>119</v>
      </c>
      <c r="D76" s="64"/>
      <c r="E76" s="64"/>
      <c r="F76" s="84">
        <f t="shared" ref="F76:P76" si="29">ROUND(SUM(F18:F19)+SUM(F30:F31)+F36+F39+F50+F54+F57+F61+F71+F75,5)</f>
        <v>2500</v>
      </c>
      <c r="G76" s="84">
        <f t="shared" si="29"/>
        <v>0</v>
      </c>
      <c r="H76" s="84">
        <f t="shared" si="29"/>
        <v>165.83</v>
      </c>
      <c r="I76" s="84">
        <f t="shared" si="29"/>
        <v>5285</v>
      </c>
      <c r="J76" s="84">
        <f t="shared" si="29"/>
        <v>10</v>
      </c>
      <c r="K76" s="84">
        <f t="shared" si="29"/>
        <v>10</v>
      </c>
      <c r="L76" s="92">
        <f t="shared" si="29"/>
        <v>47831.55</v>
      </c>
      <c r="M76" s="92">
        <f t="shared" si="29"/>
        <v>57104.85</v>
      </c>
      <c r="N76" s="92">
        <f t="shared" si="29"/>
        <v>120250.14</v>
      </c>
      <c r="O76" s="92">
        <f t="shared" si="29"/>
        <v>195800.95</v>
      </c>
      <c r="P76" s="92">
        <f t="shared" si="29"/>
        <v>132647.9</v>
      </c>
      <c r="Q76" s="92">
        <f t="shared" ref="Q76:X76" si="30">ROUND(SUM(Q18:Q19)+SUM(Q30:Q31)+Q36+Q39+Q50+Q54+Q57+Q61+Q71+Q75,5)</f>
        <v>100334.14</v>
      </c>
      <c r="R76" s="92">
        <f t="shared" si="30"/>
        <v>101236.37</v>
      </c>
      <c r="S76" s="92">
        <f t="shared" si="30"/>
        <v>110565.51</v>
      </c>
      <c r="T76" s="92">
        <f t="shared" si="30"/>
        <v>107964.59</v>
      </c>
      <c r="U76" s="92">
        <f t="shared" si="30"/>
        <v>0</v>
      </c>
      <c r="V76" s="92">
        <f t="shared" si="30"/>
        <v>0</v>
      </c>
      <c r="W76" s="92">
        <f t="shared" si="30"/>
        <v>0</v>
      </c>
      <c r="X76" s="92">
        <f t="shared" si="30"/>
        <v>973736</v>
      </c>
      <c r="AA76" s="65" t="str">
        <f t="shared" si="24"/>
        <v/>
      </c>
      <c r="AC76" s="64"/>
    </row>
    <row r="77" spans="1:31" s="67" customFormat="1" ht="15.75" thickBot="1" x14ac:dyDescent="0.3">
      <c r="A77" s="64"/>
      <c r="B77" s="64" t="s">
        <v>120</v>
      </c>
      <c r="C77" s="64"/>
      <c r="D77" s="64"/>
      <c r="E77" s="64"/>
      <c r="F77" s="85">
        <f t="shared" ref="F77:P77" si="31">ROUND(F2+F17-F76,5)</f>
        <v>12775</v>
      </c>
      <c r="G77" s="85">
        <f t="shared" si="31"/>
        <v>0</v>
      </c>
      <c r="H77" s="85">
        <f t="shared" si="31"/>
        <v>-165.83</v>
      </c>
      <c r="I77" s="85">
        <f t="shared" si="31"/>
        <v>-5285</v>
      </c>
      <c r="J77" s="85">
        <f t="shared" si="31"/>
        <v>-10</v>
      </c>
      <c r="K77" s="85">
        <f t="shared" si="31"/>
        <v>-10</v>
      </c>
      <c r="L77" s="76">
        <f t="shared" si="31"/>
        <v>86559.45</v>
      </c>
      <c r="M77" s="76">
        <f t="shared" si="31"/>
        <v>77286.149999999994</v>
      </c>
      <c r="N77" s="76">
        <f t="shared" si="31"/>
        <v>-35859.14</v>
      </c>
      <c r="O77" s="76">
        <f t="shared" si="31"/>
        <v>-111409.95</v>
      </c>
      <c r="P77" s="76">
        <f t="shared" si="31"/>
        <v>1743.1</v>
      </c>
      <c r="Q77" s="76">
        <f t="shared" ref="Q77:X77" si="32">ROUND(Q2+Q17-Q76,5)</f>
        <v>21528.86</v>
      </c>
      <c r="R77" s="76">
        <f t="shared" si="32"/>
        <v>-7169.37</v>
      </c>
      <c r="S77" s="76">
        <f t="shared" si="32"/>
        <v>-10089.51</v>
      </c>
      <c r="T77" s="76">
        <f t="shared" si="32"/>
        <v>-6052.59</v>
      </c>
      <c r="U77" s="76">
        <f t="shared" si="32"/>
        <v>0</v>
      </c>
      <c r="V77" s="76">
        <f t="shared" si="32"/>
        <v>0</v>
      </c>
      <c r="W77" s="76">
        <f t="shared" si="32"/>
        <v>0</v>
      </c>
      <c r="X77" s="76">
        <f t="shared" si="32"/>
        <v>16537</v>
      </c>
      <c r="AA77" s="65" t="str">
        <f t="shared" si="24"/>
        <v/>
      </c>
      <c r="AC77" s="64"/>
      <c r="AE77" s="7"/>
    </row>
    <row r="78" spans="1:31" s="67" customFormat="1" ht="15.75" thickBot="1" x14ac:dyDescent="0.3">
      <c r="B78" s="64" t="s">
        <v>112</v>
      </c>
      <c r="C78" s="64"/>
      <c r="D78" s="64"/>
      <c r="E78" s="64"/>
      <c r="F78" s="86">
        <f t="shared" ref="F78:P78" si="33">F77</f>
        <v>12775</v>
      </c>
      <c r="G78" s="86">
        <f t="shared" si="33"/>
        <v>0</v>
      </c>
      <c r="H78" s="86">
        <f t="shared" si="33"/>
        <v>-165.83</v>
      </c>
      <c r="I78" s="86">
        <f t="shared" si="33"/>
        <v>-5285</v>
      </c>
      <c r="J78" s="86">
        <f t="shared" si="33"/>
        <v>-10</v>
      </c>
      <c r="K78" s="86">
        <f t="shared" si="33"/>
        <v>-10</v>
      </c>
      <c r="L78" s="77">
        <f t="shared" si="33"/>
        <v>86559.45</v>
      </c>
      <c r="M78" s="77">
        <f t="shared" si="33"/>
        <v>77286.149999999994</v>
      </c>
      <c r="N78" s="77">
        <f t="shared" si="33"/>
        <v>-35859.14</v>
      </c>
      <c r="O78" s="77">
        <f t="shared" si="33"/>
        <v>-111409.95</v>
      </c>
      <c r="P78" s="77">
        <f t="shared" si="33"/>
        <v>1743.1</v>
      </c>
      <c r="Q78" s="77">
        <f t="shared" ref="Q78:X78" si="34">Q77</f>
        <v>21528.86</v>
      </c>
      <c r="R78" s="77">
        <f t="shared" si="34"/>
        <v>-7169.37</v>
      </c>
      <c r="S78" s="77">
        <f t="shared" si="34"/>
        <v>-10089.51</v>
      </c>
      <c r="T78" s="77">
        <f t="shared" si="34"/>
        <v>-6052.59</v>
      </c>
      <c r="U78" s="77">
        <f t="shared" si="34"/>
        <v>0</v>
      </c>
      <c r="V78" s="77">
        <f t="shared" si="34"/>
        <v>0</v>
      </c>
      <c r="W78" s="77">
        <f t="shared" si="34"/>
        <v>0</v>
      </c>
      <c r="X78" s="77">
        <f t="shared" si="34"/>
        <v>16537</v>
      </c>
      <c r="AA78" s="65" t="str">
        <f t="shared" si="24"/>
        <v/>
      </c>
      <c r="AC78" s="64"/>
    </row>
    <row r="79" spans="1:31" ht="15.75" thickTop="1" x14ac:dyDescent="0.25"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</row>
    <row r="80" spans="1:31" x14ac:dyDescent="0.25"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</row>
    <row r="81" spans="5:24" x14ac:dyDescent="0.25"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8"/>
    </row>
    <row r="82" spans="5:24" x14ac:dyDescent="0.25"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</row>
    <row r="83" spans="5:24" x14ac:dyDescent="0.25"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</row>
    <row r="84" spans="5:24" x14ac:dyDescent="0.25"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</row>
    <row r="85" spans="5:24" x14ac:dyDescent="0.25"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</row>
    <row r="86" spans="5:24" x14ac:dyDescent="0.25"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</row>
    <row r="87" spans="5:24" x14ac:dyDescent="0.25"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</row>
    <row r="88" spans="5:24" hidden="1" x14ac:dyDescent="0.25">
      <c r="E88" s="67" t="s">
        <v>26</v>
      </c>
      <c r="F88" s="87">
        <f t="shared" ref="F88:R90" si="35">SUMIF($E$5:$E$78,$E88,F$5:F$78)</f>
        <v>0</v>
      </c>
      <c r="G88" s="87">
        <f t="shared" si="35"/>
        <v>0</v>
      </c>
      <c r="H88" s="87">
        <f t="shared" si="35"/>
        <v>0</v>
      </c>
      <c r="I88" s="87">
        <f t="shared" si="35"/>
        <v>0</v>
      </c>
      <c r="J88" s="87">
        <f t="shared" si="35"/>
        <v>0</v>
      </c>
      <c r="K88" s="87">
        <f t="shared" si="35"/>
        <v>0</v>
      </c>
      <c r="L88" s="87">
        <f t="shared" si="35"/>
        <v>27708.240000000002</v>
      </c>
      <c r="M88" s="87">
        <f t="shared" si="35"/>
        <v>27708.240000000002</v>
      </c>
      <c r="N88" s="87">
        <f t="shared" si="35"/>
        <v>29371.8</v>
      </c>
      <c r="O88" s="87">
        <f t="shared" si="35"/>
        <v>27708.240000000002</v>
      </c>
      <c r="P88" s="87">
        <f t="shared" si="35"/>
        <v>23749.919999999998</v>
      </c>
      <c r="Q88" s="87">
        <f t="shared" si="35"/>
        <v>23749.919999999998</v>
      </c>
      <c r="R88" s="87">
        <f t="shared" si="35"/>
        <v>26322.82</v>
      </c>
      <c r="S88" s="87">
        <f t="shared" ref="S88:T90" si="36">SUMIF($E$5:$E$78,$E88,S$5:S$78)</f>
        <v>27708.240000000002</v>
      </c>
      <c r="T88" s="87">
        <f t="shared" si="36"/>
        <v>27708.240000000002</v>
      </c>
      <c r="U88" s="87"/>
      <c r="V88" s="87"/>
      <c r="W88" s="87"/>
      <c r="X88" s="87"/>
    </row>
    <row r="89" spans="5:24" hidden="1" x14ac:dyDescent="0.25">
      <c r="E89" s="67" t="s">
        <v>27</v>
      </c>
      <c r="F89" s="87">
        <f t="shared" si="35"/>
        <v>0</v>
      </c>
      <c r="G89" s="87">
        <f t="shared" si="35"/>
        <v>0</v>
      </c>
      <c r="H89" s="87">
        <f t="shared" si="35"/>
        <v>0</v>
      </c>
      <c r="I89" s="87">
        <f t="shared" si="35"/>
        <v>0</v>
      </c>
      <c r="J89" s="87">
        <f t="shared" si="35"/>
        <v>0</v>
      </c>
      <c r="K89" s="87">
        <f t="shared" si="35"/>
        <v>0</v>
      </c>
      <c r="L89" s="87">
        <f t="shared" si="35"/>
        <v>0</v>
      </c>
      <c r="M89" s="87">
        <f t="shared" si="35"/>
        <v>0</v>
      </c>
      <c r="N89" s="87">
        <f t="shared" si="35"/>
        <v>3324.56</v>
      </c>
      <c r="O89" s="87">
        <f t="shared" si="35"/>
        <v>5605.47</v>
      </c>
      <c r="P89" s="87">
        <f t="shared" si="35"/>
        <v>7144.63</v>
      </c>
      <c r="Q89" s="87">
        <f t="shared" si="35"/>
        <v>4419.55</v>
      </c>
      <c r="R89" s="87">
        <f t="shared" si="35"/>
        <v>4875.29</v>
      </c>
      <c r="S89" s="87">
        <f t="shared" si="36"/>
        <v>6798.7</v>
      </c>
      <c r="T89" s="87">
        <f t="shared" si="36"/>
        <v>5405.08</v>
      </c>
      <c r="U89" s="87"/>
      <c r="V89" s="87"/>
      <c r="W89" s="87"/>
      <c r="X89" s="87"/>
    </row>
    <row r="90" spans="5:24" hidden="1" x14ac:dyDescent="0.25">
      <c r="E90" s="67" t="s">
        <v>73</v>
      </c>
      <c r="F90" s="87">
        <f t="shared" si="35"/>
        <v>0</v>
      </c>
      <c r="G90" s="87">
        <f t="shared" si="35"/>
        <v>0</v>
      </c>
      <c r="H90" s="87">
        <f t="shared" si="35"/>
        <v>0</v>
      </c>
      <c r="I90" s="87">
        <f t="shared" si="35"/>
        <v>0</v>
      </c>
      <c r="J90" s="87">
        <f t="shared" si="35"/>
        <v>0</v>
      </c>
      <c r="K90" s="87">
        <f t="shared" si="35"/>
        <v>0</v>
      </c>
      <c r="L90" s="87">
        <f t="shared" si="35"/>
        <v>12291.98</v>
      </c>
      <c r="M90" s="87">
        <f t="shared" si="35"/>
        <v>11164.98</v>
      </c>
      <c r="N90" s="87">
        <f t="shared" si="35"/>
        <v>12613.98</v>
      </c>
      <c r="O90" s="87">
        <f t="shared" si="35"/>
        <v>12659.79</v>
      </c>
      <c r="P90" s="87">
        <f t="shared" si="35"/>
        <v>11820.48</v>
      </c>
      <c r="Q90" s="87">
        <f t="shared" si="35"/>
        <v>11394.98</v>
      </c>
      <c r="R90" s="87">
        <f t="shared" si="35"/>
        <v>10112.73</v>
      </c>
      <c r="S90" s="87">
        <f t="shared" si="36"/>
        <v>12119.18</v>
      </c>
      <c r="T90" s="87">
        <f t="shared" si="36"/>
        <v>11918.23</v>
      </c>
      <c r="U90" s="87"/>
      <c r="V90" s="87"/>
      <c r="W90" s="87"/>
      <c r="X90" s="87"/>
    </row>
    <row r="91" spans="5:24" hidden="1" x14ac:dyDescent="0.25">
      <c r="E91" s="67" t="s">
        <v>226</v>
      </c>
      <c r="F91" s="89">
        <f>SUM(F88:F90)</f>
        <v>0</v>
      </c>
      <c r="G91" s="89">
        <f t="shared" ref="G91:Q91" si="37">SUM(G88:G90)</f>
        <v>0</v>
      </c>
      <c r="H91" s="89">
        <f t="shared" si="37"/>
        <v>0</v>
      </c>
      <c r="I91" s="89">
        <f t="shared" si="37"/>
        <v>0</v>
      </c>
      <c r="J91" s="89">
        <f t="shared" si="37"/>
        <v>0</v>
      </c>
      <c r="K91" s="89">
        <f t="shared" si="37"/>
        <v>0</v>
      </c>
      <c r="L91" s="89">
        <f t="shared" si="37"/>
        <v>40000.22</v>
      </c>
      <c r="M91" s="89">
        <f t="shared" si="37"/>
        <v>38873.22</v>
      </c>
      <c r="N91" s="89">
        <f t="shared" si="37"/>
        <v>45310.34</v>
      </c>
      <c r="O91" s="89">
        <f t="shared" si="37"/>
        <v>45973.5</v>
      </c>
      <c r="P91" s="89">
        <f t="shared" si="37"/>
        <v>42715.03</v>
      </c>
      <c r="Q91" s="89">
        <f t="shared" si="37"/>
        <v>39564.449999999997</v>
      </c>
      <c r="R91" s="89">
        <f t="shared" ref="R91:T91" si="38">SUM(R88:R90)</f>
        <v>41310.839999999997</v>
      </c>
      <c r="S91" s="89">
        <f t="shared" si="38"/>
        <v>46626.12</v>
      </c>
      <c r="T91" s="89">
        <f t="shared" si="38"/>
        <v>45031.55</v>
      </c>
      <c r="U91" s="87"/>
      <c r="V91" s="87"/>
      <c r="W91" s="87"/>
      <c r="X91" s="87"/>
    </row>
    <row r="92" spans="5:24" hidden="1" x14ac:dyDescent="0.25"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</row>
    <row r="93" spans="5:24" hidden="1" x14ac:dyDescent="0.25">
      <c r="E93" s="67" t="s">
        <v>79</v>
      </c>
      <c r="F93" s="87">
        <f t="shared" ref="F93:R94" si="39">SUMIF($E$5:$E$78,$E93,F$5:F$78)</f>
        <v>0</v>
      </c>
      <c r="G93" s="87">
        <f t="shared" si="39"/>
        <v>0</v>
      </c>
      <c r="H93" s="87">
        <f t="shared" si="39"/>
        <v>0</v>
      </c>
      <c r="I93" s="87">
        <f t="shared" si="39"/>
        <v>0</v>
      </c>
      <c r="J93" s="87">
        <f t="shared" si="39"/>
        <v>0</v>
      </c>
      <c r="K93" s="87">
        <f t="shared" si="39"/>
        <v>0</v>
      </c>
      <c r="L93" s="87">
        <f t="shared" si="39"/>
        <v>414.37</v>
      </c>
      <c r="M93" s="87">
        <f t="shared" si="39"/>
        <v>591.15</v>
      </c>
      <c r="N93" s="87">
        <f t="shared" si="39"/>
        <v>964.95</v>
      </c>
      <c r="O93" s="87">
        <f t="shared" si="39"/>
        <v>890.2</v>
      </c>
      <c r="P93" s="87">
        <f t="shared" si="39"/>
        <v>904.27</v>
      </c>
      <c r="Q93" s="87">
        <f t="shared" si="39"/>
        <v>871.73</v>
      </c>
      <c r="R93" s="87">
        <f t="shared" si="39"/>
        <v>773.62</v>
      </c>
      <c r="S93" s="87">
        <f t="shared" ref="S93:T94" si="40">SUMIF($E$5:$E$78,$E93,S$5:S$78)</f>
        <v>927.13</v>
      </c>
      <c r="T93" s="87">
        <f t="shared" si="40"/>
        <v>911.73</v>
      </c>
      <c r="U93" s="87"/>
      <c r="V93" s="87"/>
      <c r="W93" s="87"/>
      <c r="X93" s="87"/>
    </row>
    <row r="94" spans="5:24" hidden="1" x14ac:dyDescent="0.25">
      <c r="E94" s="67" t="s">
        <v>28</v>
      </c>
      <c r="F94" s="87">
        <f t="shared" si="39"/>
        <v>0</v>
      </c>
      <c r="G94" s="87">
        <f t="shared" si="39"/>
        <v>0</v>
      </c>
      <c r="H94" s="87">
        <f t="shared" si="39"/>
        <v>0</v>
      </c>
      <c r="I94" s="87">
        <f t="shared" si="39"/>
        <v>0</v>
      </c>
      <c r="J94" s="87">
        <f t="shared" si="39"/>
        <v>0</v>
      </c>
      <c r="K94" s="87">
        <f t="shared" si="39"/>
        <v>0</v>
      </c>
      <c r="L94" s="87">
        <f t="shared" si="39"/>
        <v>3040.72</v>
      </c>
      <c r="M94" s="87">
        <f t="shared" si="39"/>
        <v>2580.23</v>
      </c>
      <c r="N94" s="87">
        <f t="shared" si="39"/>
        <v>2312.5500000000002</v>
      </c>
      <c r="O94" s="87">
        <f t="shared" si="39"/>
        <v>2398.5300000000002</v>
      </c>
      <c r="P94" s="87">
        <f t="shared" si="39"/>
        <v>2282.91</v>
      </c>
      <c r="Q94" s="87">
        <f t="shared" si="39"/>
        <v>2235.46</v>
      </c>
      <c r="R94" s="87">
        <f t="shared" si="39"/>
        <v>2341.3000000000002</v>
      </c>
      <c r="S94" s="87">
        <f t="shared" si="40"/>
        <v>2639.67</v>
      </c>
      <c r="T94" s="87">
        <f t="shared" si="40"/>
        <v>2533.2600000000002</v>
      </c>
      <c r="U94" s="87"/>
      <c r="V94" s="87"/>
      <c r="W94" s="87"/>
      <c r="X94" s="87"/>
    </row>
    <row r="95" spans="5:24" hidden="1" x14ac:dyDescent="0.25">
      <c r="E95" s="67" t="s">
        <v>226</v>
      </c>
      <c r="F95" s="89">
        <f>SUM(F93:F94)</f>
        <v>0</v>
      </c>
      <c r="G95" s="89">
        <f t="shared" ref="G95:Q95" si="41">SUM(G93:G94)</f>
        <v>0</v>
      </c>
      <c r="H95" s="89">
        <f t="shared" si="41"/>
        <v>0</v>
      </c>
      <c r="I95" s="89">
        <f t="shared" si="41"/>
        <v>0</v>
      </c>
      <c r="J95" s="89">
        <f t="shared" si="41"/>
        <v>0</v>
      </c>
      <c r="K95" s="89">
        <f t="shared" si="41"/>
        <v>0</v>
      </c>
      <c r="L95" s="89">
        <f t="shared" si="41"/>
        <v>3455.0899999999997</v>
      </c>
      <c r="M95" s="89">
        <f t="shared" si="41"/>
        <v>3171.38</v>
      </c>
      <c r="N95" s="89">
        <f t="shared" si="41"/>
        <v>3277.5</v>
      </c>
      <c r="O95" s="89">
        <f t="shared" si="41"/>
        <v>3288.7300000000005</v>
      </c>
      <c r="P95" s="89">
        <f t="shared" si="41"/>
        <v>3187.18</v>
      </c>
      <c r="Q95" s="89">
        <f t="shared" si="41"/>
        <v>3107.19</v>
      </c>
      <c r="R95" s="89">
        <f t="shared" ref="R95:T95" si="42">SUM(R93:R94)</f>
        <v>3114.92</v>
      </c>
      <c r="S95" s="89">
        <f t="shared" si="42"/>
        <v>3566.8</v>
      </c>
      <c r="T95" s="89">
        <f t="shared" si="42"/>
        <v>3444.9900000000002</v>
      </c>
      <c r="U95" s="87"/>
      <c r="V95" s="87"/>
      <c r="W95" s="87"/>
      <c r="X95" s="87"/>
    </row>
    <row r="96" spans="5:24" hidden="1" x14ac:dyDescent="0.25"/>
    <row r="97" hidden="1" x14ac:dyDescent="0.25"/>
  </sheetData>
  <autoFilter ref="E1:X78" xr:uid="{09BC6D4C-40F7-4AB8-956D-E685D0F6B2F3}"/>
  <pageMargins left="0.25" right="0.25" top="0.75" bottom="0.75" header="0.3" footer="0.3"/>
  <pageSetup scale="57" fitToHeight="0" orientation="landscape" r:id="rId1"/>
  <headerFooter>
    <oddHeader xml:space="preserve">&amp;C&amp;"Times New Roman,Bold"&amp;14BPA FINANCIAL STATEMENTS AND BUDGET PROJECTIONS
MARCH 2023
</oddHeader>
    <oddFooter>&amp;L&amp;"Times New Roman,Bold"&amp;12&amp;A&amp;R&amp;"Times New Roman,Bold"&amp;12&amp;P of &amp;N</oddFooter>
  </headerFooter>
  <drawing r:id="rId2"/>
  <legacyDrawing r:id="rId3"/>
  <controls>
    <mc:AlternateContent xmlns:mc="http://schemas.openxmlformats.org/markup-compatibility/2006">
      <mc:Choice Requires="x14">
        <control shapeId="3789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371475</xdr:colOff>
                <xdr:row>1</xdr:row>
                <xdr:rowOff>28575</xdr:rowOff>
              </to>
            </anchor>
          </controlPr>
        </control>
      </mc:Choice>
      <mc:Fallback>
        <control shapeId="37890" r:id="rId4" name="HEADER"/>
      </mc:Fallback>
    </mc:AlternateContent>
    <mc:AlternateContent xmlns:mc="http://schemas.openxmlformats.org/markup-compatibility/2006">
      <mc:Choice Requires="x14">
        <control shapeId="3788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371475</xdr:colOff>
                <xdr:row>1</xdr:row>
                <xdr:rowOff>28575</xdr:rowOff>
              </to>
            </anchor>
          </controlPr>
        </control>
      </mc:Choice>
      <mc:Fallback>
        <control shapeId="37889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55582-4A10-48F9-AC46-581CD818C649}">
  <sheetPr codeName="Sheet10">
    <pageSetUpPr fitToPage="1"/>
  </sheetPr>
  <dimension ref="E1:P24"/>
  <sheetViews>
    <sheetView showGridLines="0" topLeftCell="A2" zoomScaleNormal="100" workbookViewId="0">
      <selection activeCell="M39" sqref="M38:N39"/>
    </sheetView>
  </sheetViews>
  <sheetFormatPr defaultColWidth="9.140625" defaultRowHeight="15.75" x14ac:dyDescent="0.25"/>
  <cols>
    <col min="1" max="3" width="9.140625" style="9"/>
    <col min="4" max="4" width="0" style="9" hidden="1" customWidth="1"/>
    <col min="5" max="5" width="42.7109375" style="60" customWidth="1"/>
    <col min="6" max="6" width="11.7109375" style="9" bestFit="1" customWidth="1"/>
    <col min="7" max="7" width="2.28515625" style="9" customWidth="1"/>
    <col min="8" max="8" width="11.7109375" style="9" bestFit="1" customWidth="1"/>
    <col min="9" max="9" width="2.28515625" style="9" customWidth="1"/>
    <col min="10" max="10" width="11.7109375" style="9" bestFit="1" customWidth="1"/>
    <col min="11" max="11" width="2.28515625" style="9" customWidth="1"/>
    <col min="12" max="12" width="7.5703125" style="9" bestFit="1" customWidth="1"/>
    <col min="13" max="13" width="2.28515625" style="9" customWidth="1"/>
    <col min="14" max="14" width="5.7109375" style="9" bestFit="1" customWidth="1"/>
    <col min="15" max="15" width="2.28515625" style="9" customWidth="1"/>
    <col min="16" max="16" width="11.7109375" style="9" bestFit="1" customWidth="1"/>
    <col min="17" max="16384" width="9.140625" style="9"/>
  </cols>
  <sheetData>
    <row r="1" spans="5:16" s="18" customFormat="1" ht="16.5" thickBot="1" x14ac:dyDescent="0.3">
      <c r="E1" s="57"/>
      <c r="F1" s="58" t="s">
        <v>225</v>
      </c>
      <c r="G1" s="69"/>
      <c r="H1" s="58" t="s">
        <v>224</v>
      </c>
      <c r="I1" s="69"/>
      <c r="J1" s="58" t="s">
        <v>223</v>
      </c>
      <c r="K1" s="69"/>
      <c r="L1" s="58" t="s">
        <v>222</v>
      </c>
      <c r="M1" s="69"/>
      <c r="N1" s="58" t="s">
        <v>221</v>
      </c>
      <c r="O1" s="69"/>
      <c r="P1" s="58" t="s">
        <v>129</v>
      </c>
    </row>
    <row r="2" spans="5:16" ht="16.5" thickTop="1" x14ac:dyDescent="0.25">
      <c r="E2" s="59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5:16" x14ac:dyDescent="0.25">
      <c r="E3" s="59" t="s">
        <v>46</v>
      </c>
      <c r="F3" s="98">
        <v>0</v>
      </c>
      <c r="G3" s="98"/>
      <c r="H3" s="98">
        <v>0</v>
      </c>
      <c r="I3" s="98"/>
      <c r="J3" s="98">
        <v>0</v>
      </c>
      <c r="K3" s="98"/>
      <c r="L3" s="98">
        <v>0</v>
      </c>
      <c r="M3" s="98"/>
      <c r="N3" s="98">
        <v>0</v>
      </c>
      <c r="O3" s="98"/>
      <c r="P3" s="98">
        <f t="shared" ref="P3:P13" si="0">ROUND(SUM(F3:N3),5)</f>
        <v>0</v>
      </c>
    </row>
    <row r="4" spans="5:16" x14ac:dyDescent="0.25">
      <c r="E4" s="59" t="s">
        <v>41</v>
      </c>
      <c r="F4" s="98">
        <v>0</v>
      </c>
      <c r="G4" s="98"/>
      <c r="H4" s="98">
        <v>0</v>
      </c>
      <c r="I4" s="98"/>
      <c r="J4" s="98">
        <v>0</v>
      </c>
      <c r="K4" s="98"/>
      <c r="L4" s="98">
        <v>0</v>
      </c>
      <c r="M4" s="98"/>
      <c r="N4" s="98">
        <v>0</v>
      </c>
      <c r="O4" s="98"/>
      <c r="P4" s="98">
        <f t="shared" si="0"/>
        <v>0</v>
      </c>
    </row>
    <row r="5" spans="5:16" x14ac:dyDescent="0.25">
      <c r="E5" s="59" t="s">
        <v>47</v>
      </c>
      <c r="F5" s="98">
        <v>22000</v>
      </c>
      <c r="G5" s="98"/>
      <c r="H5" s="98">
        <v>0</v>
      </c>
      <c r="I5" s="98"/>
      <c r="J5" s="98">
        <v>0</v>
      </c>
      <c r="K5" s="98"/>
      <c r="L5" s="98">
        <v>0</v>
      </c>
      <c r="M5" s="98"/>
      <c r="N5" s="98">
        <v>0</v>
      </c>
      <c r="O5" s="98"/>
      <c r="P5" s="98">
        <f t="shared" si="0"/>
        <v>22000</v>
      </c>
    </row>
    <row r="6" spans="5:16" x14ac:dyDescent="0.25">
      <c r="E6" s="59" t="s">
        <v>42</v>
      </c>
      <c r="F6" s="98">
        <v>0</v>
      </c>
      <c r="G6" s="98"/>
      <c r="H6" s="98">
        <v>0</v>
      </c>
      <c r="I6" s="98"/>
      <c r="J6" s="98">
        <v>0</v>
      </c>
      <c r="K6" s="98"/>
      <c r="L6" s="98">
        <v>0</v>
      </c>
      <c r="M6" s="98"/>
      <c r="N6" s="98">
        <v>0</v>
      </c>
      <c r="O6" s="98"/>
      <c r="P6" s="98">
        <f t="shared" si="0"/>
        <v>0</v>
      </c>
    </row>
    <row r="7" spans="5:16" x14ac:dyDescent="0.25">
      <c r="E7" s="59" t="s">
        <v>43</v>
      </c>
      <c r="F7" s="98">
        <v>8811</v>
      </c>
      <c r="G7" s="98"/>
      <c r="H7" s="98">
        <v>0</v>
      </c>
      <c r="I7" s="98"/>
      <c r="J7" s="98">
        <v>0</v>
      </c>
      <c r="K7" s="98"/>
      <c r="L7" s="98">
        <v>0</v>
      </c>
      <c r="M7" s="98"/>
      <c r="N7" s="98">
        <v>0</v>
      </c>
      <c r="O7" s="98"/>
      <c r="P7" s="98">
        <f t="shared" si="0"/>
        <v>8811</v>
      </c>
    </row>
    <row r="8" spans="5:16" x14ac:dyDescent="0.25">
      <c r="E8" s="59" t="s">
        <v>229</v>
      </c>
      <c r="F8" s="98">
        <v>0</v>
      </c>
      <c r="G8" s="98"/>
      <c r="H8" s="98">
        <v>12396.96</v>
      </c>
      <c r="I8" s="98"/>
      <c r="J8" s="98">
        <v>0</v>
      </c>
      <c r="K8" s="98"/>
      <c r="L8" s="98">
        <v>0</v>
      </c>
      <c r="M8" s="98"/>
      <c r="N8" s="98">
        <v>0</v>
      </c>
      <c r="O8" s="98"/>
      <c r="P8" s="98">
        <f t="shared" si="0"/>
        <v>12396.96</v>
      </c>
    </row>
    <row r="9" spans="5:16" x14ac:dyDescent="0.25">
      <c r="E9" s="59" t="s">
        <v>231</v>
      </c>
      <c r="F9" s="98">
        <v>0</v>
      </c>
      <c r="G9" s="98"/>
      <c r="H9" s="98">
        <v>0</v>
      </c>
      <c r="I9" s="98"/>
      <c r="J9" s="98">
        <v>0</v>
      </c>
      <c r="K9" s="98"/>
      <c r="L9" s="98">
        <v>0</v>
      </c>
      <c r="M9" s="98"/>
      <c r="N9" s="98">
        <v>65</v>
      </c>
      <c r="O9" s="98"/>
      <c r="P9" s="98">
        <f t="shared" si="0"/>
        <v>65</v>
      </c>
    </row>
    <row r="10" spans="5:16" x14ac:dyDescent="0.25">
      <c r="E10" s="59" t="s">
        <v>45</v>
      </c>
      <c r="F10" s="98">
        <v>0</v>
      </c>
      <c r="G10" s="98"/>
      <c r="H10" s="98">
        <v>0</v>
      </c>
      <c r="I10" s="98"/>
      <c r="J10" s="98">
        <v>0</v>
      </c>
      <c r="K10" s="98"/>
      <c r="L10" s="98">
        <v>0</v>
      </c>
      <c r="M10" s="98"/>
      <c r="N10" s="98">
        <v>0</v>
      </c>
      <c r="O10" s="98"/>
      <c r="P10" s="98">
        <f t="shared" si="0"/>
        <v>0</v>
      </c>
    </row>
    <row r="11" spans="5:16" x14ac:dyDescent="0.25">
      <c r="E11" s="59" t="s">
        <v>44</v>
      </c>
      <c r="F11" s="98">
        <v>4920</v>
      </c>
      <c r="G11" s="98"/>
      <c r="H11" s="98">
        <v>2952</v>
      </c>
      <c r="I11" s="98"/>
      <c r="J11" s="98">
        <v>0</v>
      </c>
      <c r="K11" s="98"/>
      <c r="L11" s="98">
        <v>0</v>
      </c>
      <c r="M11" s="98"/>
      <c r="N11" s="98">
        <v>0</v>
      </c>
      <c r="O11" s="98"/>
      <c r="P11" s="98">
        <f t="shared" si="0"/>
        <v>7872</v>
      </c>
    </row>
    <row r="12" spans="5:16" x14ac:dyDescent="0.25">
      <c r="E12" s="59" t="s">
        <v>278</v>
      </c>
      <c r="F12" s="98">
        <v>0</v>
      </c>
      <c r="G12" s="98"/>
      <c r="H12" s="98">
        <v>276.06</v>
      </c>
      <c r="I12" s="98"/>
      <c r="J12" s="98">
        <v>0</v>
      </c>
      <c r="K12" s="98"/>
      <c r="L12" s="98">
        <v>0</v>
      </c>
      <c r="M12" s="98"/>
      <c r="N12" s="98">
        <v>0</v>
      </c>
      <c r="O12" s="98"/>
      <c r="P12" s="98">
        <f t="shared" si="0"/>
        <v>276.06</v>
      </c>
    </row>
    <row r="13" spans="5:16" ht="16.5" thickBot="1" x14ac:dyDescent="0.3">
      <c r="E13" s="59" t="s">
        <v>266</v>
      </c>
      <c r="F13" s="98">
        <v>0</v>
      </c>
      <c r="G13" s="98"/>
      <c r="H13" s="98">
        <v>0</v>
      </c>
      <c r="I13" s="98"/>
      <c r="J13" s="98">
        <v>20.82</v>
      </c>
      <c r="K13" s="98"/>
      <c r="L13" s="98">
        <v>0</v>
      </c>
      <c r="M13" s="98"/>
      <c r="N13" s="98">
        <v>0</v>
      </c>
      <c r="O13" s="98"/>
      <c r="P13" s="98">
        <f t="shared" si="0"/>
        <v>20.82</v>
      </c>
    </row>
    <row r="14" spans="5:16" hidden="1" x14ac:dyDescent="0.25">
      <c r="E14" s="59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</row>
    <row r="15" spans="5:16" hidden="1" x14ac:dyDescent="0.25">
      <c r="E15" s="59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</row>
    <row r="16" spans="5:16" hidden="1" x14ac:dyDescent="0.25">
      <c r="E16" s="59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</row>
    <row r="17" spans="5:16" ht="16.5" hidden="1" thickBot="1" x14ac:dyDescent="0.3">
      <c r="E17" s="59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</row>
    <row r="18" spans="5:16" s="60" customFormat="1" ht="17.25" customHeight="1" thickBot="1" x14ac:dyDescent="0.3">
      <c r="E18" s="59" t="s">
        <v>129</v>
      </c>
      <c r="F18" s="99">
        <f>ROUND(SUM(F2:F13),5)</f>
        <v>35731</v>
      </c>
      <c r="G18" s="100"/>
      <c r="H18" s="99">
        <f>ROUND(SUM(H2:H13),5)</f>
        <v>15625.02</v>
      </c>
      <c r="I18" s="100"/>
      <c r="J18" s="99">
        <f>ROUND(SUM(J2:J13),5)</f>
        <v>20.82</v>
      </c>
      <c r="K18" s="100"/>
      <c r="L18" s="99">
        <f>ROUND(SUM(L2:L13),5)</f>
        <v>0</v>
      </c>
      <c r="M18" s="100"/>
      <c r="N18" s="99">
        <f>ROUND(SUM(N2:N13),5)</f>
        <v>65</v>
      </c>
      <c r="O18" s="100"/>
      <c r="P18" s="99">
        <f>ROUND(SUM(P2:P13),5)</f>
        <v>51441.84</v>
      </c>
    </row>
    <row r="19" spans="5:16" ht="16.5" thickTop="1" x14ac:dyDescent="0.25"/>
    <row r="20" spans="5:16" x14ac:dyDescent="0.25">
      <c r="J20" s="10"/>
    </row>
    <row r="21" spans="5:16" x14ac:dyDescent="0.25">
      <c r="J21" s="10"/>
    </row>
    <row r="24" spans="5:16" x14ac:dyDescent="0.25">
      <c r="P24" s="70"/>
    </row>
  </sheetData>
  <pageMargins left="0.25" right="0.25" top="0.75" bottom="0.75" header="0.3" footer="0.3"/>
  <pageSetup scale="72" fitToHeight="0" orientation="landscape" r:id="rId1"/>
  <headerFooter>
    <oddHeader xml:space="preserve">&amp;C&amp;"Times New Roman,Bold"&amp;14BPA FINANCIAL STATEMENTS AND BUDGET PROJECTIONS
MARCH 2023
</oddHeader>
    <oddFooter>&amp;L&amp;"Times New Roman,Bold"&amp;12&amp;A&amp;R&amp;"Times New Roman,Bold"&amp;12&amp;P of &amp;N</oddFooter>
  </headerFooter>
  <drawing r:id="rId2"/>
  <legacyDrawing r:id="rId3"/>
  <controls>
    <mc:AlternateContent xmlns:mc="http://schemas.openxmlformats.org/markup-compatibility/2006">
      <mc:Choice Requires="x14">
        <control shapeId="166913" r:id="rId4" name="FILTER">
          <controlPr defaultSize="0" autoLine="0" r:id="rId5">
            <anchor moveWithCells="1">
              <from>
                <xdr:col>4</xdr:col>
                <xdr:colOff>0</xdr:colOff>
                <xdr:row>0</xdr:row>
                <xdr:rowOff>0</xdr:rowOff>
              </from>
              <to>
                <xdr:col>4</xdr:col>
                <xdr:colOff>914400</xdr:colOff>
                <xdr:row>1</xdr:row>
                <xdr:rowOff>19050</xdr:rowOff>
              </to>
            </anchor>
          </controlPr>
        </control>
      </mc:Choice>
      <mc:Fallback>
        <control shapeId="166913" r:id="rId4" name="FILTER"/>
      </mc:Fallback>
    </mc:AlternateContent>
    <mc:AlternateContent xmlns:mc="http://schemas.openxmlformats.org/markup-compatibility/2006">
      <mc:Choice Requires="x14">
        <control shapeId="166914" r:id="rId6" name="HEADER">
          <controlPr defaultSize="0" autoLine="0" r:id="rId7">
            <anchor moveWithCells="1">
              <from>
                <xdr:col>4</xdr:col>
                <xdr:colOff>0</xdr:colOff>
                <xdr:row>0</xdr:row>
                <xdr:rowOff>0</xdr:rowOff>
              </from>
              <to>
                <xdr:col>4</xdr:col>
                <xdr:colOff>914400</xdr:colOff>
                <xdr:row>1</xdr:row>
                <xdr:rowOff>19050</xdr:rowOff>
              </to>
            </anchor>
          </controlPr>
        </control>
      </mc:Choice>
      <mc:Fallback>
        <control shapeId="166914" r:id="rId6" name="HEAD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21F63-664B-4CDA-BC91-28871FD19E4B}">
  <sheetPr codeName="Sheet17"/>
  <dimension ref="A1:W13"/>
  <sheetViews>
    <sheetView zoomScaleNormal="100" workbookViewId="0">
      <pane xSplit="2" ySplit="1" topLeftCell="C2" activePane="bottomRight" state="frozenSplit"/>
      <selection activeCell="C12" sqref="C12"/>
      <selection pane="topRight" activeCell="C12" sqref="C12"/>
      <selection pane="bottomLeft" activeCell="C12" sqref="C12"/>
      <selection pane="bottomRight" activeCell="N27" sqref="N27"/>
    </sheetView>
  </sheetViews>
  <sheetFormatPr defaultRowHeight="15" x14ac:dyDescent="0.25"/>
  <cols>
    <col min="1" max="1" width="3" customWidth="1"/>
    <col min="2" max="2" width="25.140625" customWidth="1"/>
    <col min="3" max="4" width="2.28515625" customWidth="1"/>
    <col min="5" max="5" width="11.85546875" bestFit="1" customWidth="1"/>
    <col min="6" max="6" width="2.28515625" customWidth="1"/>
    <col min="7" max="7" width="8.7109375" bestFit="1" customWidth="1"/>
    <col min="8" max="8" width="2.28515625" customWidth="1"/>
    <col min="9" max="9" width="4.5703125" bestFit="1" customWidth="1"/>
    <col min="10" max="10" width="2.28515625" customWidth="1"/>
    <col min="11" max="11" width="5.42578125" bestFit="1" customWidth="1"/>
    <col min="12" max="12" width="2.28515625" customWidth="1"/>
    <col min="13" max="13" width="36.5703125" bestFit="1" customWidth="1"/>
    <col min="14" max="14" width="2.28515625" customWidth="1"/>
    <col min="15" max="15" width="5.42578125" bestFit="1" customWidth="1"/>
    <col min="16" max="16" width="2.28515625" customWidth="1"/>
    <col min="17" max="17" width="3.28515625" bestFit="1" customWidth="1"/>
    <col min="18" max="18" width="2.28515625" customWidth="1"/>
    <col min="19" max="19" width="27.42578125" bestFit="1" customWidth="1"/>
    <col min="20" max="20" width="2.28515625" customWidth="1"/>
    <col min="21" max="21" width="7.85546875" bestFit="1" customWidth="1"/>
    <col min="22" max="22" width="2.28515625" customWidth="1"/>
    <col min="23" max="23" width="7.85546875" bestFit="1" customWidth="1"/>
  </cols>
  <sheetData>
    <row r="1" spans="1:23" s="4" customFormat="1" ht="15.75" thickBot="1" x14ac:dyDescent="0.3">
      <c r="A1" s="108"/>
      <c r="B1" s="108"/>
      <c r="C1" s="108"/>
      <c r="D1" s="108"/>
      <c r="E1" s="109" t="s">
        <v>0</v>
      </c>
      <c r="F1" s="108"/>
      <c r="G1" s="109" t="s">
        <v>1</v>
      </c>
      <c r="H1" s="108"/>
      <c r="I1" s="109" t="s">
        <v>2</v>
      </c>
      <c r="J1" s="108"/>
      <c r="K1" s="109" t="s">
        <v>3</v>
      </c>
      <c r="L1" s="108"/>
      <c r="M1" s="109" t="s">
        <v>4</v>
      </c>
      <c r="N1" s="108"/>
      <c r="O1" s="109" t="s">
        <v>244</v>
      </c>
      <c r="P1" s="108"/>
      <c r="Q1" s="109" t="s">
        <v>243</v>
      </c>
      <c r="R1" s="108"/>
      <c r="S1" s="109" t="s">
        <v>5</v>
      </c>
      <c r="T1" s="108"/>
      <c r="U1" s="109" t="s">
        <v>6</v>
      </c>
      <c r="V1" s="108"/>
      <c r="W1" s="109" t="s">
        <v>284</v>
      </c>
    </row>
    <row r="2" spans="1:23" ht="15.75" thickTop="1" x14ac:dyDescent="0.25">
      <c r="A2" s="1"/>
      <c r="B2" s="1" t="s">
        <v>13</v>
      </c>
      <c r="C2" s="1"/>
      <c r="D2" s="1"/>
      <c r="E2" s="1"/>
      <c r="F2" s="1"/>
      <c r="G2" s="11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11"/>
      <c r="V2" s="1"/>
      <c r="W2" s="111"/>
    </row>
    <row r="3" spans="1:23" x14ac:dyDescent="0.25">
      <c r="A3" s="102"/>
      <c r="B3" s="102"/>
      <c r="C3" s="102"/>
      <c r="D3" s="102"/>
      <c r="E3" s="102" t="s">
        <v>36</v>
      </c>
      <c r="F3" s="102"/>
      <c r="G3" s="103">
        <v>44773</v>
      </c>
      <c r="H3" s="102"/>
      <c r="I3" s="102" t="s">
        <v>285</v>
      </c>
      <c r="J3" s="102"/>
      <c r="K3" s="102"/>
      <c r="L3" s="102"/>
      <c r="M3" s="102" t="s">
        <v>53</v>
      </c>
      <c r="N3" s="102"/>
      <c r="O3" s="102"/>
      <c r="P3" s="102"/>
      <c r="Q3" s="104"/>
      <c r="R3" s="102"/>
      <c r="S3" s="102" t="s">
        <v>73</v>
      </c>
      <c r="T3" s="102"/>
      <c r="U3" s="2">
        <v>18812.14</v>
      </c>
      <c r="V3" s="102"/>
      <c r="W3" s="2">
        <f t="shared" ref="W3:W10" si="0">ROUND(W2+U3,5)</f>
        <v>18812.14</v>
      </c>
    </row>
    <row r="4" spans="1:23" x14ac:dyDescent="0.25">
      <c r="A4" s="102"/>
      <c r="B4" s="102"/>
      <c r="C4" s="102"/>
      <c r="D4" s="102"/>
      <c r="E4" s="102" t="s">
        <v>36</v>
      </c>
      <c r="F4" s="102"/>
      <c r="G4" s="103">
        <v>44773</v>
      </c>
      <c r="H4" s="102"/>
      <c r="I4" s="102" t="s">
        <v>285</v>
      </c>
      <c r="J4" s="102"/>
      <c r="K4" s="102"/>
      <c r="L4" s="102"/>
      <c r="M4" s="102" t="s">
        <v>54</v>
      </c>
      <c r="N4" s="102"/>
      <c r="O4" s="102"/>
      <c r="P4" s="102"/>
      <c r="Q4" s="104"/>
      <c r="R4" s="102"/>
      <c r="S4" s="102" t="s">
        <v>73</v>
      </c>
      <c r="T4" s="102"/>
      <c r="U4" s="2">
        <v>18812.14</v>
      </c>
      <c r="V4" s="102"/>
      <c r="W4" s="2">
        <f t="shared" si="0"/>
        <v>37624.28</v>
      </c>
    </row>
    <row r="5" spans="1:23" x14ac:dyDescent="0.25">
      <c r="A5" s="102"/>
      <c r="B5" s="102"/>
      <c r="C5" s="102"/>
      <c r="D5" s="102"/>
      <c r="E5" s="102" t="s">
        <v>36</v>
      </c>
      <c r="F5" s="102"/>
      <c r="G5" s="103">
        <v>44788</v>
      </c>
      <c r="H5" s="102"/>
      <c r="I5" s="102" t="s">
        <v>286</v>
      </c>
      <c r="J5" s="102"/>
      <c r="K5" s="102"/>
      <c r="L5" s="102"/>
      <c r="M5" s="102" t="s">
        <v>55</v>
      </c>
      <c r="N5" s="102"/>
      <c r="O5" s="102"/>
      <c r="P5" s="102"/>
      <c r="Q5" s="104"/>
      <c r="R5" s="102"/>
      <c r="S5" s="102" t="s">
        <v>73</v>
      </c>
      <c r="T5" s="102"/>
      <c r="U5" s="2">
        <v>18812.14</v>
      </c>
      <c r="V5" s="102"/>
      <c r="W5" s="2">
        <f t="shared" si="0"/>
        <v>56436.42</v>
      </c>
    </row>
    <row r="6" spans="1:23" x14ac:dyDescent="0.25">
      <c r="A6" s="102"/>
      <c r="B6" s="102"/>
      <c r="C6" s="102"/>
      <c r="D6" s="102"/>
      <c r="E6" s="102" t="s">
        <v>36</v>
      </c>
      <c r="F6" s="102"/>
      <c r="G6" s="103">
        <v>44895</v>
      </c>
      <c r="H6" s="102"/>
      <c r="I6" s="102" t="s">
        <v>250</v>
      </c>
      <c r="J6" s="102"/>
      <c r="K6" s="102"/>
      <c r="L6" s="102"/>
      <c r="M6" s="102" t="s">
        <v>246</v>
      </c>
      <c r="N6" s="102"/>
      <c r="O6" s="102"/>
      <c r="P6" s="102"/>
      <c r="Q6" s="104"/>
      <c r="R6" s="102"/>
      <c r="S6" s="102" t="s">
        <v>245</v>
      </c>
      <c r="T6" s="102"/>
      <c r="U6" s="2">
        <v>3750</v>
      </c>
      <c r="V6" s="102"/>
      <c r="W6" s="2">
        <f t="shared" si="0"/>
        <v>60186.42</v>
      </c>
    </row>
    <row r="7" spans="1:23" x14ac:dyDescent="0.25">
      <c r="A7" s="102"/>
      <c r="B7" s="102"/>
      <c r="C7" s="102"/>
      <c r="D7" s="102"/>
      <c r="E7" s="102" t="s">
        <v>36</v>
      </c>
      <c r="F7" s="102"/>
      <c r="G7" s="103">
        <v>44926</v>
      </c>
      <c r="H7" s="102"/>
      <c r="I7" s="102" t="s">
        <v>250</v>
      </c>
      <c r="J7" s="102"/>
      <c r="K7" s="102"/>
      <c r="L7" s="102"/>
      <c r="M7" s="102" t="s">
        <v>251</v>
      </c>
      <c r="N7" s="102"/>
      <c r="O7" s="102"/>
      <c r="P7" s="102"/>
      <c r="Q7" s="104"/>
      <c r="R7" s="102"/>
      <c r="S7" s="102" t="s">
        <v>245</v>
      </c>
      <c r="T7" s="102"/>
      <c r="U7" s="2">
        <v>750</v>
      </c>
      <c r="V7" s="102"/>
      <c r="W7" s="2">
        <f t="shared" si="0"/>
        <v>60936.42</v>
      </c>
    </row>
    <row r="8" spans="1:23" x14ac:dyDescent="0.25">
      <c r="A8" s="102"/>
      <c r="B8" s="102"/>
      <c r="C8" s="102"/>
      <c r="D8" s="102"/>
      <c r="E8" s="102" t="s">
        <v>36</v>
      </c>
      <c r="F8" s="102"/>
      <c r="G8" s="103">
        <v>44927</v>
      </c>
      <c r="H8" s="102"/>
      <c r="I8" s="102" t="s">
        <v>250</v>
      </c>
      <c r="J8" s="102"/>
      <c r="K8" s="102"/>
      <c r="L8" s="102"/>
      <c r="M8" s="102" t="s">
        <v>264</v>
      </c>
      <c r="N8" s="102"/>
      <c r="O8" s="102"/>
      <c r="P8" s="102"/>
      <c r="Q8" s="104"/>
      <c r="R8" s="102"/>
      <c r="S8" s="102" t="s">
        <v>245</v>
      </c>
      <c r="T8" s="102"/>
      <c r="U8" s="2">
        <v>750</v>
      </c>
      <c r="V8" s="102"/>
      <c r="W8" s="2">
        <f t="shared" si="0"/>
        <v>61686.42</v>
      </c>
    </row>
    <row r="9" spans="1:23" x14ac:dyDescent="0.25">
      <c r="A9" s="102"/>
      <c r="B9" s="102"/>
      <c r="C9" s="102"/>
      <c r="D9" s="102"/>
      <c r="E9" s="102" t="s">
        <v>36</v>
      </c>
      <c r="F9" s="102"/>
      <c r="G9" s="103">
        <v>44985</v>
      </c>
      <c r="H9" s="102"/>
      <c r="I9" s="102" t="s">
        <v>250</v>
      </c>
      <c r="J9" s="102"/>
      <c r="K9" s="102"/>
      <c r="L9" s="102"/>
      <c r="M9" s="102" t="s">
        <v>269</v>
      </c>
      <c r="N9" s="102"/>
      <c r="O9" s="102"/>
      <c r="P9" s="102"/>
      <c r="Q9" s="104"/>
      <c r="R9" s="102"/>
      <c r="S9" s="102" t="s">
        <v>245</v>
      </c>
      <c r="T9" s="102"/>
      <c r="U9" s="2">
        <v>750</v>
      </c>
      <c r="V9" s="102"/>
      <c r="W9" s="2">
        <f t="shared" si="0"/>
        <v>62436.42</v>
      </c>
    </row>
    <row r="10" spans="1:23" ht="15.75" thickBot="1" x14ac:dyDescent="0.3">
      <c r="A10" s="102"/>
      <c r="B10" s="102"/>
      <c r="C10" s="102"/>
      <c r="D10" s="102"/>
      <c r="E10" s="102" t="s">
        <v>36</v>
      </c>
      <c r="F10" s="102"/>
      <c r="G10" s="103">
        <v>45016</v>
      </c>
      <c r="H10" s="102"/>
      <c r="I10" s="102" t="s">
        <v>250</v>
      </c>
      <c r="J10" s="102"/>
      <c r="K10" s="102"/>
      <c r="L10" s="102"/>
      <c r="M10" s="102" t="s">
        <v>275</v>
      </c>
      <c r="N10" s="102"/>
      <c r="O10" s="102"/>
      <c r="P10" s="102"/>
      <c r="Q10" s="104"/>
      <c r="R10" s="102"/>
      <c r="S10" s="102" t="s">
        <v>245</v>
      </c>
      <c r="T10" s="102"/>
      <c r="U10" s="2">
        <v>750</v>
      </c>
      <c r="V10" s="102"/>
      <c r="W10" s="2">
        <f t="shared" si="0"/>
        <v>63186.42</v>
      </c>
    </row>
    <row r="11" spans="1:23" ht="15.75" thickBot="1" x14ac:dyDescent="0.3">
      <c r="A11" s="102"/>
      <c r="B11" s="102" t="s">
        <v>287</v>
      </c>
      <c r="C11" s="102"/>
      <c r="D11" s="102"/>
      <c r="E11" s="102"/>
      <c r="F11" s="102"/>
      <c r="G11" s="103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12">
        <f>ROUND(SUM(U2:U10),5)</f>
        <v>63186.42</v>
      </c>
      <c r="V11" s="102"/>
      <c r="W11" s="112">
        <f>W10</f>
        <v>63186.42</v>
      </c>
    </row>
    <row r="12" spans="1:23" s="3" customFormat="1" ht="12" thickBot="1" x14ac:dyDescent="0.25">
      <c r="A12" s="1" t="s">
        <v>129</v>
      </c>
      <c r="B12" s="1"/>
      <c r="C12" s="1"/>
      <c r="D12" s="1"/>
      <c r="E12" s="1"/>
      <c r="F12" s="1"/>
      <c r="G12" s="11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13">
        <f>U11</f>
        <v>63186.42</v>
      </c>
      <c r="V12" s="1"/>
      <c r="W12" s="113">
        <f>W11</f>
        <v>63186.42</v>
      </c>
    </row>
    <row r="13" spans="1:23" ht="15.75" thickTop="1" x14ac:dyDescent="0.25"/>
  </sheetData>
  <pageMargins left="0.7" right="0.7" top="0.75" bottom="0.75" header="0.1" footer="0.3"/>
  <pageSetup scale="44" orientation="portrait" r:id="rId1"/>
  <headerFooter>
    <oddHeader>&amp;L&amp;"Arial,Bold"&amp;8 6:39 PM
&amp;"Arial,Bold"&amp;8 01/25/23
&amp;"Arial,Bold"&amp;8 Accrual Basis&amp;C&amp;"Arial,Bold"&amp;12 Brightview Preparatory Academy Corp
&amp;"Arial,Bold"&amp;14 Transactions by Account
&amp;"Arial,Bold"&amp;10 All Transactions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9968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99681" r:id="rId4" name="FILTER"/>
      </mc:Fallback>
    </mc:AlternateContent>
    <mc:AlternateContent xmlns:mc="http://schemas.openxmlformats.org/markup-compatibility/2006">
      <mc:Choice Requires="x14">
        <control shapeId="19968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99682" r:id="rId6" name="HEAD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D0B24-909F-49DC-BF21-EE12266560D2}">
  <sheetPr codeName="Sheet11">
    <pageSetUpPr fitToPage="1"/>
  </sheetPr>
  <dimension ref="A1:P6"/>
  <sheetViews>
    <sheetView showGridLines="0" tabSelected="1" zoomScaleNormal="100" workbookViewId="0">
      <selection activeCell="E17" sqref="E17:E18"/>
    </sheetView>
  </sheetViews>
  <sheetFormatPr defaultRowHeight="15" x14ac:dyDescent="0.25"/>
  <cols>
    <col min="1" max="4" width="9.140625" style="3" customWidth="1"/>
    <col min="5" max="5" width="42.7109375" style="3" bestFit="1" customWidth="1"/>
    <col min="6" max="6" width="11.5703125" bestFit="1" customWidth="1"/>
    <col min="7" max="7" width="2.28515625" customWidth="1"/>
    <col min="8" max="8" width="7.28515625" bestFit="1" customWidth="1"/>
    <col min="9" max="9" width="2.28515625" customWidth="1"/>
    <col min="10" max="10" width="6.140625" bestFit="1" customWidth="1"/>
    <col min="11" max="11" width="2.28515625" customWidth="1"/>
    <col min="12" max="12" width="6.140625" bestFit="1" customWidth="1"/>
    <col min="13" max="13" width="2.28515625" customWidth="1"/>
    <col min="14" max="14" width="5.5703125" bestFit="1" customWidth="1"/>
    <col min="15" max="15" width="2.28515625" customWidth="1"/>
    <col min="16" max="16" width="11.5703125" bestFit="1" customWidth="1"/>
  </cols>
  <sheetData>
    <row r="1" spans="1:16" s="4" customFormat="1" ht="16.5" thickBot="1" x14ac:dyDescent="0.3">
      <c r="A1" s="5"/>
      <c r="B1" s="5"/>
      <c r="C1" s="5"/>
      <c r="D1" s="5"/>
      <c r="E1" s="57"/>
      <c r="F1" s="58" t="s">
        <v>225</v>
      </c>
      <c r="G1" s="69"/>
      <c r="H1" s="58" t="s">
        <v>224</v>
      </c>
      <c r="I1" s="69"/>
      <c r="J1" s="58" t="s">
        <v>223</v>
      </c>
      <c r="K1" s="69"/>
      <c r="L1" s="58" t="s">
        <v>222</v>
      </c>
      <c r="M1" s="69"/>
      <c r="N1" s="58" t="s">
        <v>221</v>
      </c>
      <c r="O1" s="69"/>
      <c r="P1" s="58" t="s">
        <v>129</v>
      </c>
    </row>
    <row r="2" spans="1:16" s="4" customFormat="1" ht="16.5" thickTop="1" x14ac:dyDescent="0.25">
      <c r="A2" s="5"/>
      <c r="B2" s="5"/>
      <c r="C2" s="5"/>
      <c r="D2" s="5"/>
      <c r="E2" s="73" t="str">
        <f>'Balance Sheet Mar 2023'!D10</f>
        <v>1131000 · A/R Local Referendum Funds</v>
      </c>
      <c r="F2" s="98">
        <f>'Balance Sheet Mar 2023'!F10</f>
        <v>42272</v>
      </c>
      <c r="G2" s="106"/>
      <c r="H2" s="107"/>
      <c r="I2" s="106"/>
      <c r="J2" s="107"/>
      <c r="K2" s="106"/>
      <c r="L2" s="107"/>
      <c r="M2" s="106"/>
      <c r="N2" s="107"/>
      <c r="O2" s="106"/>
      <c r="P2" s="98">
        <f>ROUND(SUM(F2:N2),5)</f>
        <v>42272</v>
      </c>
    </row>
    <row r="3" spans="1:16" ht="15.75" x14ac:dyDescent="0.25">
      <c r="A3" s="1"/>
      <c r="B3" s="1"/>
      <c r="C3" s="1"/>
      <c r="D3" s="1"/>
      <c r="E3" s="73" t="str">
        <f>'Balance Sheet Mar 2023'!D11</f>
        <v>1132000 · A/R District School Board FEFP</v>
      </c>
      <c r="F3" s="98">
        <f>'Balance Sheet Mar 2023'!F11</f>
        <v>29950</v>
      </c>
      <c r="G3" s="98"/>
      <c r="H3" s="98">
        <v>0</v>
      </c>
      <c r="I3" s="98"/>
      <c r="J3" s="98">
        <v>0</v>
      </c>
      <c r="K3" s="98"/>
      <c r="L3" s="98">
        <v>0</v>
      </c>
      <c r="M3" s="98"/>
      <c r="N3" s="98">
        <v>0</v>
      </c>
      <c r="O3" s="98"/>
      <c r="P3" s="98">
        <f>ROUND(SUM(F3:N3),5)</f>
        <v>29950</v>
      </c>
    </row>
    <row r="4" spans="1:16" ht="16.5" thickBot="1" x14ac:dyDescent="0.3">
      <c r="A4" s="1"/>
      <c r="B4" s="1"/>
      <c r="C4" s="1"/>
      <c r="D4" s="1"/>
      <c r="E4" s="72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</row>
    <row r="5" spans="1:16" s="3" customFormat="1" ht="16.5" thickBot="1" x14ac:dyDescent="0.3">
      <c r="E5" s="59" t="s">
        <v>129</v>
      </c>
      <c r="F5" s="99">
        <f>ROUND(SUM(F2:F4),5)</f>
        <v>72222</v>
      </c>
      <c r="G5" s="100"/>
      <c r="H5" s="99">
        <f>ROUND(SUM(H3:H4),5)</f>
        <v>0</v>
      </c>
      <c r="I5" s="100"/>
      <c r="J5" s="99">
        <f>ROUND(SUM(J3:J4),5)</f>
        <v>0</v>
      </c>
      <c r="K5" s="100"/>
      <c r="L5" s="99">
        <f>ROUND(SUM(L3:L4),5)</f>
        <v>0</v>
      </c>
      <c r="M5" s="100"/>
      <c r="N5" s="99">
        <f>ROUND(SUM(N3:N4),5)</f>
        <v>0</v>
      </c>
      <c r="O5" s="100"/>
      <c r="P5" s="99">
        <f>ROUND(SUM(F5:N5),5)</f>
        <v>72222</v>
      </c>
    </row>
    <row r="6" spans="1:16" ht="15.75" thickTop="1" x14ac:dyDescent="0.25"/>
  </sheetData>
  <pageMargins left="0.25" right="0.25" top="0.75" bottom="0.75" header="0.3" footer="0.3"/>
  <pageSetup scale="61" fitToHeight="0" orientation="landscape" r:id="rId1"/>
  <headerFooter>
    <oddHeader xml:space="preserve">&amp;C&amp;"Times New Roman,Bold"&amp;14BPA FINANCIAL STATEMENTS AND BUDGET PROJECTIONS
MARCH 2023
</oddHeader>
    <oddFooter>&amp;L&amp;"Times New Roman,Bold"&amp;12&amp;A&amp;R&amp;"Times New Roman,Bold"&amp;12&amp;P of &amp;N</oddFooter>
  </headerFooter>
  <drawing r:id="rId2"/>
  <legacyDrawing r:id="rId3"/>
  <controls>
    <mc:AlternateContent xmlns:mc="http://schemas.openxmlformats.org/markup-compatibility/2006">
      <mc:Choice Requires="x14">
        <control shapeId="9011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1</xdr:row>
                <xdr:rowOff>19050</xdr:rowOff>
              </to>
            </anchor>
          </controlPr>
        </control>
      </mc:Choice>
      <mc:Fallback>
        <control shapeId="90114" r:id="rId4" name="HEADER"/>
      </mc:Fallback>
    </mc:AlternateContent>
    <mc:AlternateContent xmlns:mc="http://schemas.openxmlformats.org/markup-compatibility/2006">
      <mc:Choice Requires="x14">
        <control shapeId="9011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1</xdr:row>
                <xdr:rowOff>19050</xdr:rowOff>
              </to>
            </anchor>
          </controlPr>
        </control>
      </mc:Choice>
      <mc:Fallback>
        <control shapeId="90113" r:id="rId6" name="FILTER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5EADC-10CA-4434-9E76-5F80BCBAFAB1}">
  <sheetPr codeName="Sheet1"/>
  <dimension ref="A1:W32"/>
  <sheetViews>
    <sheetView workbookViewId="0">
      <selection activeCell="Z12" sqref="Z12"/>
    </sheetView>
  </sheetViews>
  <sheetFormatPr defaultRowHeight="15" x14ac:dyDescent="0.25"/>
  <cols>
    <col min="1" max="1" width="3" customWidth="1"/>
    <col min="2" max="2" width="34.28515625" customWidth="1"/>
    <col min="3" max="4" width="2.28515625" customWidth="1"/>
    <col min="5" max="5" width="11.85546875" bestFit="1" customWidth="1"/>
    <col min="6" max="6" width="2.28515625" customWidth="1"/>
    <col min="7" max="7" width="8.7109375" bestFit="1" customWidth="1"/>
    <col min="8" max="8" width="2.28515625" customWidth="1"/>
    <col min="9" max="9" width="4.5703125" bestFit="1" customWidth="1"/>
    <col min="10" max="10" width="2.28515625" customWidth="1"/>
    <col min="11" max="11" width="15.5703125" bestFit="1" customWidth="1"/>
    <col min="12" max="12" width="2.28515625" customWidth="1"/>
    <col min="13" max="13" width="30.7109375" customWidth="1"/>
    <col min="14" max="14" width="2.28515625" customWidth="1"/>
    <col min="15" max="15" width="5.42578125" bestFit="1" customWidth="1"/>
    <col min="16" max="16" width="2.28515625" customWidth="1"/>
    <col min="17" max="17" width="3.28515625" bestFit="1" customWidth="1"/>
    <col min="18" max="18" width="2.28515625" customWidth="1"/>
    <col min="19" max="19" width="26.28515625" bestFit="1" customWidth="1"/>
    <col min="20" max="20" width="2.28515625" customWidth="1"/>
    <col min="21" max="21" width="9.28515625" bestFit="1" customWidth="1"/>
    <col min="22" max="22" width="2.28515625" customWidth="1"/>
    <col min="23" max="23" width="8.7109375" bestFit="1" customWidth="1"/>
  </cols>
  <sheetData>
    <row r="1" spans="1:23" s="4" customFormat="1" ht="15.75" thickBot="1" x14ac:dyDescent="0.3">
      <c r="A1" s="108"/>
      <c r="B1" s="108"/>
      <c r="C1" s="108"/>
      <c r="D1" s="108"/>
      <c r="E1" s="109" t="s">
        <v>0</v>
      </c>
      <c r="F1" s="108"/>
      <c r="G1" s="109" t="s">
        <v>1</v>
      </c>
      <c r="H1" s="108"/>
      <c r="I1" s="109" t="s">
        <v>2</v>
      </c>
      <c r="J1" s="108"/>
      <c r="K1" s="109" t="s">
        <v>3</v>
      </c>
      <c r="L1" s="108"/>
      <c r="M1" s="109" t="s">
        <v>4</v>
      </c>
      <c r="N1" s="108"/>
      <c r="O1" s="109" t="s">
        <v>244</v>
      </c>
      <c r="P1" s="108"/>
      <c r="Q1" s="109" t="s">
        <v>243</v>
      </c>
      <c r="R1" s="108"/>
      <c r="S1" s="109" t="s">
        <v>5</v>
      </c>
      <c r="T1" s="108"/>
      <c r="U1" s="109" t="s">
        <v>6</v>
      </c>
      <c r="V1" s="108"/>
      <c r="W1" s="109" t="s">
        <v>284</v>
      </c>
    </row>
    <row r="2" spans="1:23" ht="15.75" thickTop="1" x14ac:dyDescent="0.25">
      <c r="A2" s="1"/>
      <c r="B2" s="1" t="s">
        <v>254</v>
      </c>
      <c r="C2" s="1"/>
      <c r="D2" s="1"/>
      <c r="E2" s="1"/>
      <c r="F2" s="1"/>
      <c r="G2" s="110"/>
      <c r="H2" s="1"/>
      <c r="I2" s="1"/>
      <c r="J2" s="1"/>
      <c r="K2" s="1"/>
      <c r="L2" s="1"/>
      <c r="M2" s="1"/>
      <c r="N2" s="1"/>
      <c r="O2" s="1"/>
      <c r="P2" s="1"/>
      <c r="Q2" s="114"/>
      <c r="R2" s="1"/>
      <c r="S2" s="1"/>
      <c r="T2" s="1"/>
      <c r="U2" s="111"/>
      <c r="V2" s="1"/>
      <c r="W2" s="111">
        <v>0</v>
      </c>
    </row>
    <row r="3" spans="1:23" x14ac:dyDescent="0.25">
      <c r="A3" s="102"/>
      <c r="B3" s="102"/>
      <c r="C3" s="102"/>
      <c r="D3" s="102"/>
      <c r="E3" s="102" t="s">
        <v>36</v>
      </c>
      <c r="F3" s="102"/>
      <c r="G3" s="103">
        <v>44926</v>
      </c>
      <c r="H3" s="102"/>
      <c r="I3" s="102" t="s">
        <v>248</v>
      </c>
      <c r="J3" s="102"/>
      <c r="K3" s="102"/>
      <c r="L3" s="102"/>
      <c r="M3" s="102" t="s">
        <v>302</v>
      </c>
      <c r="N3" s="102"/>
      <c r="O3" s="102"/>
      <c r="P3" s="102"/>
      <c r="Q3" s="116"/>
      <c r="R3" s="102"/>
      <c r="S3" s="102" t="s">
        <v>255</v>
      </c>
      <c r="T3" s="102"/>
      <c r="U3" s="2">
        <v>30832</v>
      </c>
      <c r="V3" s="102"/>
      <c r="W3" s="2">
        <f>ROUND(W2+U3,5)</f>
        <v>30832</v>
      </c>
    </row>
    <row r="4" spans="1:23" x14ac:dyDescent="0.25">
      <c r="A4" s="102"/>
      <c r="B4" s="102"/>
      <c r="C4" s="102"/>
      <c r="D4" s="102"/>
      <c r="E4" s="102" t="s">
        <v>36</v>
      </c>
      <c r="F4" s="102"/>
      <c r="G4" s="103">
        <v>44957</v>
      </c>
      <c r="H4" s="102"/>
      <c r="I4" s="102" t="s">
        <v>248</v>
      </c>
      <c r="J4" s="102"/>
      <c r="K4" s="102"/>
      <c r="L4" s="102"/>
      <c r="M4" s="102" t="s">
        <v>301</v>
      </c>
      <c r="N4" s="102"/>
      <c r="O4" s="102"/>
      <c r="P4" s="102"/>
      <c r="Q4" s="116"/>
      <c r="R4" s="102"/>
      <c r="S4" s="102" t="s">
        <v>255</v>
      </c>
      <c r="T4" s="102"/>
      <c r="U4" s="2">
        <v>3036</v>
      </c>
      <c r="V4" s="102"/>
      <c r="W4" s="2">
        <f>ROUND(W3+U4,5)</f>
        <v>33868</v>
      </c>
    </row>
    <row r="5" spans="1:23" x14ac:dyDescent="0.25">
      <c r="A5" s="102"/>
      <c r="B5" s="102"/>
      <c r="C5" s="102"/>
      <c r="D5" s="102"/>
      <c r="E5" s="102" t="s">
        <v>36</v>
      </c>
      <c r="F5" s="102"/>
      <c r="G5" s="103">
        <v>44985</v>
      </c>
      <c r="H5" s="102"/>
      <c r="I5" s="102" t="s">
        <v>248</v>
      </c>
      <c r="J5" s="102"/>
      <c r="K5" s="102"/>
      <c r="L5" s="102"/>
      <c r="M5" s="102" t="s">
        <v>300</v>
      </c>
      <c r="N5" s="102"/>
      <c r="O5" s="102"/>
      <c r="P5" s="102"/>
      <c r="Q5" s="116"/>
      <c r="R5" s="102"/>
      <c r="S5" s="102" t="s">
        <v>255</v>
      </c>
      <c r="T5" s="102"/>
      <c r="U5" s="2">
        <v>3484</v>
      </c>
      <c r="V5" s="102"/>
      <c r="W5" s="2">
        <f>ROUND(W4+U5,5)</f>
        <v>37352</v>
      </c>
    </row>
    <row r="6" spans="1:23" ht="15.75" thickBot="1" x14ac:dyDescent="0.3">
      <c r="A6" s="102"/>
      <c r="B6" s="102"/>
      <c r="C6" s="102"/>
      <c r="D6" s="102"/>
      <c r="E6" s="102" t="s">
        <v>36</v>
      </c>
      <c r="F6" s="102"/>
      <c r="G6" s="103">
        <v>45016</v>
      </c>
      <c r="H6" s="102"/>
      <c r="I6" s="102" t="s">
        <v>248</v>
      </c>
      <c r="J6" s="102"/>
      <c r="K6" s="102"/>
      <c r="L6" s="102"/>
      <c r="M6" s="102" t="s">
        <v>281</v>
      </c>
      <c r="N6" s="102"/>
      <c r="O6" s="102"/>
      <c r="P6" s="102"/>
      <c r="Q6" s="116"/>
      <c r="R6" s="102"/>
      <c r="S6" s="102" t="s">
        <v>255</v>
      </c>
      <c r="T6" s="102"/>
      <c r="U6" s="117">
        <v>4920</v>
      </c>
      <c r="V6" s="102"/>
      <c r="W6" s="117">
        <f>ROUND(W5+U6,5)</f>
        <v>42272</v>
      </c>
    </row>
    <row r="7" spans="1:23" x14ac:dyDescent="0.25">
      <c r="A7" s="102"/>
      <c r="B7" s="102" t="s">
        <v>299</v>
      </c>
      <c r="C7" s="102"/>
      <c r="D7" s="102"/>
      <c r="E7" s="102"/>
      <c r="F7" s="102"/>
      <c r="G7" s="103"/>
      <c r="H7" s="102"/>
      <c r="I7" s="102"/>
      <c r="J7" s="102"/>
      <c r="K7" s="102"/>
      <c r="L7" s="102"/>
      <c r="M7" s="102"/>
      <c r="N7" s="102"/>
      <c r="O7" s="102"/>
      <c r="P7" s="102"/>
      <c r="Q7" s="115"/>
      <c r="R7" s="102"/>
      <c r="S7" s="102"/>
      <c r="T7" s="102"/>
      <c r="U7" s="2">
        <f>ROUND(SUM(U2:U6),5)</f>
        <v>42272</v>
      </c>
      <c r="V7" s="102"/>
      <c r="W7" s="2">
        <f>W6</f>
        <v>42272</v>
      </c>
    </row>
    <row r="8" spans="1:23" x14ac:dyDescent="0.25">
      <c r="A8" s="1"/>
      <c r="B8" s="1" t="s">
        <v>8</v>
      </c>
      <c r="C8" s="1"/>
      <c r="D8" s="1"/>
      <c r="E8" s="1"/>
      <c r="F8" s="1"/>
      <c r="G8" s="110"/>
      <c r="H8" s="1"/>
      <c r="I8" s="1"/>
      <c r="J8" s="1"/>
      <c r="K8" s="1"/>
      <c r="L8" s="1"/>
      <c r="M8" s="1"/>
      <c r="N8" s="1"/>
      <c r="O8" s="1"/>
      <c r="P8" s="1"/>
      <c r="Q8" s="114"/>
      <c r="R8" s="1"/>
      <c r="S8" s="1"/>
      <c r="T8" s="1"/>
      <c r="U8" s="111"/>
      <c r="V8" s="1"/>
      <c r="W8" s="111">
        <v>0</v>
      </c>
    </row>
    <row r="9" spans="1:23" x14ac:dyDescent="0.25">
      <c r="A9" s="102"/>
      <c r="B9" s="102"/>
      <c r="C9" s="102"/>
      <c r="D9" s="102"/>
      <c r="E9" s="102" t="s">
        <v>36</v>
      </c>
      <c r="F9" s="102"/>
      <c r="G9" s="103">
        <v>44773</v>
      </c>
      <c r="H9" s="102"/>
      <c r="I9" s="102" t="s">
        <v>37</v>
      </c>
      <c r="J9" s="102"/>
      <c r="K9" s="102"/>
      <c r="L9" s="102"/>
      <c r="M9" s="102" t="s">
        <v>49</v>
      </c>
      <c r="N9" s="102"/>
      <c r="O9" s="102"/>
      <c r="P9" s="102"/>
      <c r="Q9" s="116"/>
      <c r="R9" s="102"/>
      <c r="S9" s="102" t="s">
        <v>70</v>
      </c>
      <c r="T9" s="102"/>
      <c r="U9" s="2">
        <v>80171</v>
      </c>
      <c r="V9" s="102"/>
      <c r="W9" s="2">
        <f t="shared" ref="W9:W25" si="0">ROUND(W8+U9,5)</f>
        <v>80171</v>
      </c>
    </row>
    <row r="10" spans="1:23" x14ac:dyDescent="0.25">
      <c r="A10" s="102"/>
      <c r="B10" s="102"/>
      <c r="C10" s="102"/>
      <c r="D10" s="102"/>
      <c r="E10" s="102" t="s">
        <v>36</v>
      </c>
      <c r="F10" s="102"/>
      <c r="G10" s="103">
        <v>44804</v>
      </c>
      <c r="H10" s="102"/>
      <c r="I10" s="102" t="s">
        <v>38</v>
      </c>
      <c r="J10" s="102"/>
      <c r="K10" s="102"/>
      <c r="L10" s="102"/>
      <c r="M10" s="102" t="s">
        <v>50</v>
      </c>
      <c r="N10" s="102"/>
      <c r="O10" s="102"/>
      <c r="P10" s="102"/>
      <c r="Q10" s="116"/>
      <c r="R10" s="102"/>
      <c r="S10" s="102" t="s">
        <v>70</v>
      </c>
      <c r="T10" s="102"/>
      <c r="U10" s="2">
        <v>80171</v>
      </c>
      <c r="V10" s="102"/>
      <c r="W10" s="2">
        <f t="shared" si="0"/>
        <v>160342</v>
      </c>
    </row>
    <row r="11" spans="1:23" x14ac:dyDescent="0.25">
      <c r="A11" s="102"/>
      <c r="B11" s="102"/>
      <c r="C11" s="102"/>
      <c r="D11" s="102"/>
      <c r="E11" s="102" t="s">
        <v>252</v>
      </c>
      <c r="F11" s="102"/>
      <c r="G11" s="103">
        <v>44819</v>
      </c>
      <c r="H11" s="102"/>
      <c r="I11" s="102"/>
      <c r="J11" s="102"/>
      <c r="K11" s="102" t="s">
        <v>48</v>
      </c>
      <c r="L11" s="102"/>
      <c r="M11" s="102"/>
      <c r="N11" s="102"/>
      <c r="O11" s="102"/>
      <c r="P11" s="102"/>
      <c r="Q11" s="116"/>
      <c r="R11" s="102"/>
      <c r="S11" s="102" t="s">
        <v>7</v>
      </c>
      <c r="T11" s="102"/>
      <c r="U11" s="2">
        <v>-136647</v>
      </c>
      <c r="V11" s="102"/>
      <c r="W11" s="2">
        <f t="shared" si="0"/>
        <v>23695</v>
      </c>
    </row>
    <row r="12" spans="1:23" x14ac:dyDescent="0.25">
      <c r="A12" s="102"/>
      <c r="B12" s="102"/>
      <c r="C12" s="102"/>
      <c r="D12" s="102"/>
      <c r="E12" s="102" t="s">
        <v>36</v>
      </c>
      <c r="F12" s="102"/>
      <c r="G12" s="103">
        <v>44834</v>
      </c>
      <c r="H12" s="102"/>
      <c r="I12" s="102" t="s">
        <v>39</v>
      </c>
      <c r="J12" s="102"/>
      <c r="K12" s="102"/>
      <c r="L12" s="102"/>
      <c r="M12" s="102" t="s">
        <v>51</v>
      </c>
      <c r="N12" s="102"/>
      <c r="O12" s="102"/>
      <c r="P12" s="102"/>
      <c r="Q12" s="116"/>
      <c r="R12" s="102"/>
      <c r="S12" s="102" t="s">
        <v>70</v>
      </c>
      <c r="T12" s="102"/>
      <c r="U12" s="2">
        <v>80171</v>
      </c>
      <c r="V12" s="102"/>
      <c r="W12" s="2">
        <f t="shared" si="0"/>
        <v>103866</v>
      </c>
    </row>
    <row r="13" spans="1:23" x14ac:dyDescent="0.25">
      <c r="A13" s="102"/>
      <c r="B13" s="102"/>
      <c r="C13" s="102"/>
      <c r="D13" s="102"/>
      <c r="E13" s="102" t="s">
        <v>252</v>
      </c>
      <c r="F13" s="102"/>
      <c r="G13" s="103">
        <v>44841</v>
      </c>
      <c r="H13" s="102"/>
      <c r="I13" s="102"/>
      <c r="J13" s="102"/>
      <c r="K13" s="102" t="s">
        <v>48</v>
      </c>
      <c r="L13" s="102"/>
      <c r="M13" s="102"/>
      <c r="N13" s="102"/>
      <c r="O13" s="102"/>
      <c r="P13" s="102"/>
      <c r="Q13" s="116"/>
      <c r="R13" s="102"/>
      <c r="S13" s="102" t="s">
        <v>7</v>
      </c>
      <c r="T13" s="102"/>
      <c r="U13" s="2">
        <v>-2415</v>
      </c>
      <c r="V13" s="102"/>
      <c r="W13" s="2">
        <f t="shared" si="0"/>
        <v>101451</v>
      </c>
    </row>
    <row r="14" spans="1:23" x14ac:dyDescent="0.25">
      <c r="A14" s="102"/>
      <c r="B14" s="102"/>
      <c r="C14" s="102"/>
      <c r="D14" s="102"/>
      <c r="E14" s="102" t="s">
        <v>252</v>
      </c>
      <c r="F14" s="102"/>
      <c r="G14" s="103">
        <v>44848</v>
      </c>
      <c r="H14" s="102"/>
      <c r="I14" s="102"/>
      <c r="J14" s="102"/>
      <c r="K14" s="102" t="s">
        <v>48</v>
      </c>
      <c r="L14" s="102"/>
      <c r="M14" s="102"/>
      <c r="N14" s="102"/>
      <c r="O14" s="102"/>
      <c r="P14" s="102"/>
      <c r="Q14" s="116"/>
      <c r="R14" s="102"/>
      <c r="S14" s="102" t="s">
        <v>7</v>
      </c>
      <c r="T14" s="102"/>
      <c r="U14" s="2">
        <v>-91711</v>
      </c>
      <c r="V14" s="102"/>
      <c r="W14" s="2">
        <f t="shared" si="0"/>
        <v>9740</v>
      </c>
    </row>
    <row r="15" spans="1:23" x14ac:dyDescent="0.25">
      <c r="A15" s="102"/>
      <c r="B15" s="102"/>
      <c r="C15" s="102"/>
      <c r="D15" s="102"/>
      <c r="E15" s="102" t="s">
        <v>36</v>
      </c>
      <c r="F15" s="102"/>
      <c r="G15" s="103">
        <v>44865</v>
      </c>
      <c r="H15" s="102"/>
      <c r="I15" s="102" t="s">
        <v>40</v>
      </c>
      <c r="J15" s="102"/>
      <c r="K15" s="102"/>
      <c r="L15" s="102"/>
      <c r="M15" s="102" t="s">
        <v>52</v>
      </c>
      <c r="N15" s="102"/>
      <c r="O15" s="102"/>
      <c r="P15" s="102"/>
      <c r="Q15" s="116"/>
      <c r="R15" s="102"/>
      <c r="S15" s="102" t="s">
        <v>70</v>
      </c>
      <c r="T15" s="102"/>
      <c r="U15" s="2">
        <v>80171</v>
      </c>
      <c r="V15" s="102"/>
      <c r="W15" s="2">
        <f t="shared" si="0"/>
        <v>89911</v>
      </c>
    </row>
    <row r="16" spans="1:23" x14ac:dyDescent="0.25">
      <c r="A16" s="102"/>
      <c r="B16" s="102"/>
      <c r="C16" s="102"/>
      <c r="D16" s="102"/>
      <c r="E16" s="102" t="s">
        <v>252</v>
      </c>
      <c r="F16" s="102"/>
      <c r="G16" s="103">
        <v>44880</v>
      </c>
      <c r="H16" s="102"/>
      <c r="I16" s="102"/>
      <c r="J16" s="102"/>
      <c r="K16" s="102" t="s">
        <v>48</v>
      </c>
      <c r="L16" s="102"/>
      <c r="M16" s="102" t="s">
        <v>298</v>
      </c>
      <c r="N16" s="102"/>
      <c r="O16" s="102"/>
      <c r="P16" s="102"/>
      <c r="Q16" s="116"/>
      <c r="R16" s="102"/>
      <c r="S16" s="102" t="s">
        <v>7</v>
      </c>
      <c r="T16" s="102"/>
      <c r="U16" s="2">
        <v>-96811</v>
      </c>
      <c r="V16" s="102"/>
      <c r="W16" s="2">
        <f t="shared" si="0"/>
        <v>-6900</v>
      </c>
    </row>
    <row r="17" spans="1:23" x14ac:dyDescent="0.25">
      <c r="A17" s="102"/>
      <c r="B17" s="102"/>
      <c r="C17" s="102"/>
      <c r="D17" s="102"/>
      <c r="E17" s="102" t="s">
        <v>36</v>
      </c>
      <c r="F17" s="102"/>
      <c r="G17" s="103">
        <v>44895</v>
      </c>
      <c r="H17" s="102"/>
      <c r="I17" s="102" t="s">
        <v>297</v>
      </c>
      <c r="J17" s="102"/>
      <c r="K17" s="102"/>
      <c r="L17" s="102"/>
      <c r="M17" s="102" t="s">
        <v>230</v>
      </c>
      <c r="N17" s="102"/>
      <c r="O17" s="102"/>
      <c r="P17" s="102"/>
      <c r="Q17" s="116"/>
      <c r="R17" s="102"/>
      <c r="S17" s="102" t="s">
        <v>70</v>
      </c>
      <c r="T17" s="102"/>
      <c r="U17" s="2">
        <v>80171</v>
      </c>
      <c r="V17" s="102"/>
      <c r="W17" s="2">
        <f t="shared" si="0"/>
        <v>73271</v>
      </c>
    </row>
    <row r="18" spans="1:23" x14ac:dyDescent="0.25">
      <c r="A18" s="102"/>
      <c r="B18" s="102"/>
      <c r="C18" s="102"/>
      <c r="D18" s="102"/>
      <c r="E18" s="102" t="s">
        <v>36</v>
      </c>
      <c r="F18" s="102"/>
      <c r="G18" s="103">
        <v>44926</v>
      </c>
      <c r="H18" s="102"/>
      <c r="I18" s="102" t="s">
        <v>249</v>
      </c>
      <c r="J18" s="102"/>
      <c r="K18" s="102"/>
      <c r="L18" s="102"/>
      <c r="M18" s="102" t="s">
        <v>296</v>
      </c>
      <c r="N18" s="102"/>
      <c r="O18" s="102"/>
      <c r="P18" s="102"/>
      <c r="Q18" s="116"/>
      <c r="R18" s="102"/>
      <c r="S18" s="102" t="s">
        <v>70</v>
      </c>
      <c r="T18" s="102"/>
      <c r="U18" s="2">
        <v>86480</v>
      </c>
      <c r="V18" s="102"/>
      <c r="W18" s="2">
        <f t="shared" si="0"/>
        <v>159751</v>
      </c>
    </row>
    <row r="19" spans="1:23" x14ac:dyDescent="0.25">
      <c r="A19" s="102"/>
      <c r="B19" s="102"/>
      <c r="C19" s="102"/>
      <c r="D19" s="102"/>
      <c r="E19" s="102" t="s">
        <v>252</v>
      </c>
      <c r="F19" s="102"/>
      <c r="G19" s="103">
        <v>44926</v>
      </c>
      <c r="H19" s="102"/>
      <c r="I19" s="102"/>
      <c r="J19" s="102"/>
      <c r="K19" s="102" t="s">
        <v>48</v>
      </c>
      <c r="L19" s="102"/>
      <c r="M19" s="102" t="s">
        <v>295</v>
      </c>
      <c r="N19" s="102"/>
      <c r="O19" s="102"/>
      <c r="P19" s="102"/>
      <c r="Q19" s="116"/>
      <c r="R19" s="102"/>
      <c r="S19" s="102" t="s">
        <v>7</v>
      </c>
      <c r="T19" s="102"/>
      <c r="U19" s="2">
        <v>-97231</v>
      </c>
      <c r="V19" s="102"/>
      <c r="W19" s="2">
        <f t="shared" si="0"/>
        <v>62520</v>
      </c>
    </row>
    <row r="20" spans="1:23" x14ac:dyDescent="0.25">
      <c r="A20" s="102"/>
      <c r="B20" s="102"/>
      <c r="C20" s="102"/>
      <c r="D20" s="102"/>
      <c r="E20" s="102" t="s">
        <v>252</v>
      </c>
      <c r="F20" s="102"/>
      <c r="G20" s="103">
        <v>44939</v>
      </c>
      <c r="H20" s="102"/>
      <c r="I20" s="102"/>
      <c r="J20" s="102"/>
      <c r="K20" s="102" t="s">
        <v>48</v>
      </c>
      <c r="L20" s="102"/>
      <c r="M20" s="102" t="s">
        <v>294</v>
      </c>
      <c r="N20" s="102"/>
      <c r="O20" s="102"/>
      <c r="P20" s="102"/>
      <c r="Q20" s="116"/>
      <c r="R20" s="102"/>
      <c r="S20" s="102" t="s">
        <v>7</v>
      </c>
      <c r="T20" s="102"/>
      <c r="U20" s="2">
        <v>-97233</v>
      </c>
      <c r="V20" s="102"/>
      <c r="W20" s="2">
        <f t="shared" si="0"/>
        <v>-34713</v>
      </c>
    </row>
    <row r="21" spans="1:23" x14ac:dyDescent="0.25">
      <c r="A21" s="102"/>
      <c r="B21" s="102"/>
      <c r="C21" s="102"/>
      <c r="D21" s="102"/>
      <c r="E21" s="102" t="s">
        <v>36</v>
      </c>
      <c r="F21" s="102"/>
      <c r="G21" s="103">
        <v>44957</v>
      </c>
      <c r="H21" s="102"/>
      <c r="I21" s="102" t="s">
        <v>249</v>
      </c>
      <c r="J21" s="102"/>
      <c r="K21" s="102"/>
      <c r="L21" s="102"/>
      <c r="M21" s="102" t="s">
        <v>265</v>
      </c>
      <c r="N21" s="102"/>
      <c r="O21" s="102"/>
      <c r="P21" s="102"/>
      <c r="Q21" s="116"/>
      <c r="R21" s="102"/>
      <c r="S21" s="102" t="s">
        <v>70</v>
      </c>
      <c r="T21" s="102"/>
      <c r="U21" s="2">
        <v>86480</v>
      </c>
      <c r="V21" s="102"/>
      <c r="W21" s="2">
        <f t="shared" si="0"/>
        <v>51767</v>
      </c>
    </row>
    <row r="22" spans="1:23" x14ac:dyDescent="0.25">
      <c r="A22" s="102"/>
      <c r="B22" s="102"/>
      <c r="C22" s="102"/>
      <c r="D22" s="102"/>
      <c r="E22" s="102" t="s">
        <v>252</v>
      </c>
      <c r="F22" s="102"/>
      <c r="G22" s="103">
        <v>44985</v>
      </c>
      <c r="H22" s="102"/>
      <c r="I22" s="102"/>
      <c r="J22" s="102"/>
      <c r="K22" s="102" t="s">
        <v>48</v>
      </c>
      <c r="L22" s="102"/>
      <c r="M22" s="102" t="s">
        <v>293</v>
      </c>
      <c r="N22" s="102"/>
      <c r="O22" s="102"/>
      <c r="P22" s="102"/>
      <c r="Q22" s="116"/>
      <c r="R22" s="102"/>
      <c r="S22" s="102" t="s">
        <v>7</v>
      </c>
      <c r="T22" s="102"/>
      <c r="U22" s="2">
        <v>-102793</v>
      </c>
      <c r="V22" s="102"/>
      <c r="W22" s="2">
        <f t="shared" si="0"/>
        <v>-51026</v>
      </c>
    </row>
    <row r="23" spans="1:23" x14ac:dyDescent="0.25">
      <c r="A23" s="102"/>
      <c r="B23" s="102"/>
      <c r="C23" s="102"/>
      <c r="D23" s="102"/>
      <c r="E23" s="102" t="s">
        <v>36</v>
      </c>
      <c r="F23" s="102"/>
      <c r="G23" s="103">
        <v>44985</v>
      </c>
      <c r="H23" s="102"/>
      <c r="I23" s="102" t="s">
        <v>249</v>
      </c>
      <c r="J23" s="102"/>
      <c r="K23" s="102"/>
      <c r="L23" s="102"/>
      <c r="M23" s="102" t="s">
        <v>270</v>
      </c>
      <c r="N23" s="102"/>
      <c r="O23" s="102"/>
      <c r="P23" s="102"/>
      <c r="Q23" s="116"/>
      <c r="R23" s="102"/>
      <c r="S23" s="102" t="s">
        <v>70</v>
      </c>
      <c r="T23" s="102"/>
      <c r="U23" s="2">
        <v>92142</v>
      </c>
      <c r="V23" s="102"/>
      <c r="W23" s="2">
        <f t="shared" si="0"/>
        <v>41116</v>
      </c>
    </row>
    <row r="24" spans="1:23" x14ac:dyDescent="0.25">
      <c r="A24" s="102"/>
      <c r="B24" s="102"/>
      <c r="C24" s="102"/>
      <c r="D24" s="102"/>
      <c r="E24" s="102" t="s">
        <v>252</v>
      </c>
      <c r="F24" s="102"/>
      <c r="G24" s="103">
        <v>45000</v>
      </c>
      <c r="H24" s="102"/>
      <c r="I24" s="102"/>
      <c r="J24" s="102"/>
      <c r="K24" s="102" t="s">
        <v>48</v>
      </c>
      <c r="L24" s="102"/>
      <c r="M24" s="102" t="s">
        <v>280</v>
      </c>
      <c r="N24" s="102"/>
      <c r="O24" s="102"/>
      <c r="P24" s="102"/>
      <c r="Q24" s="116"/>
      <c r="R24" s="102"/>
      <c r="S24" s="102" t="s">
        <v>7</v>
      </c>
      <c r="T24" s="102"/>
      <c r="U24" s="2">
        <v>-103308</v>
      </c>
      <c r="V24" s="102"/>
      <c r="W24" s="2">
        <f t="shared" si="0"/>
        <v>-62192</v>
      </c>
    </row>
    <row r="25" spans="1:23" ht="15.75" thickBot="1" x14ac:dyDescent="0.3">
      <c r="A25" s="102"/>
      <c r="B25" s="102"/>
      <c r="C25" s="102"/>
      <c r="D25" s="102"/>
      <c r="E25" s="102" t="s">
        <v>36</v>
      </c>
      <c r="F25" s="102"/>
      <c r="G25" s="103">
        <v>45016</v>
      </c>
      <c r="H25" s="102"/>
      <c r="I25" s="102" t="s">
        <v>249</v>
      </c>
      <c r="J25" s="102"/>
      <c r="K25" s="102"/>
      <c r="L25" s="102"/>
      <c r="M25" s="102" t="s">
        <v>276</v>
      </c>
      <c r="N25" s="102"/>
      <c r="O25" s="102"/>
      <c r="P25" s="102"/>
      <c r="Q25" s="116"/>
      <c r="R25" s="102"/>
      <c r="S25" s="102" t="s">
        <v>70</v>
      </c>
      <c r="T25" s="102"/>
      <c r="U25" s="117">
        <v>92142</v>
      </c>
      <c r="V25" s="102"/>
      <c r="W25" s="117">
        <f t="shared" si="0"/>
        <v>29950</v>
      </c>
    </row>
    <row r="26" spans="1:23" x14ac:dyDescent="0.25">
      <c r="A26" s="102"/>
      <c r="B26" s="102" t="s">
        <v>292</v>
      </c>
      <c r="C26" s="102"/>
      <c r="D26" s="102"/>
      <c r="E26" s="102"/>
      <c r="F26" s="102"/>
      <c r="G26" s="103"/>
      <c r="H26" s="102"/>
      <c r="I26" s="102"/>
      <c r="J26" s="102"/>
      <c r="K26" s="102"/>
      <c r="L26" s="102"/>
      <c r="M26" s="102"/>
      <c r="N26" s="102"/>
      <c r="O26" s="102"/>
      <c r="P26" s="102"/>
      <c r="Q26" s="115"/>
      <c r="R26" s="102"/>
      <c r="S26" s="102"/>
      <c r="T26" s="102"/>
      <c r="U26" s="2">
        <f>ROUND(SUM(U8:U25),5)</f>
        <v>29950</v>
      </c>
      <c r="V26" s="102"/>
      <c r="W26" s="2">
        <f>W25</f>
        <v>29950</v>
      </c>
    </row>
    <row r="27" spans="1:23" x14ac:dyDescent="0.25">
      <c r="A27" s="1"/>
      <c r="B27" s="1" t="s">
        <v>291</v>
      </c>
      <c r="C27" s="1"/>
      <c r="D27" s="1"/>
      <c r="E27" s="1"/>
      <c r="F27" s="1"/>
      <c r="G27" s="110"/>
      <c r="H27" s="1"/>
      <c r="I27" s="1"/>
      <c r="J27" s="1"/>
      <c r="K27" s="1"/>
      <c r="L27" s="1"/>
      <c r="M27" s="1"/>
      <c r="N27" s="1"/>
      <c r="O27" s="1"/>
      <c r="P27" s="1"/>
      <c r="Q27" s="114"/>
      <c r="R27" s="1"/>
      <c r="S27" s="1"/>
      <c r="T27" s="1"/>
      <c r="U27" s="111"/>
      <c r="V27" s="1"/>
      <c r="W27" s="111">
        <v>0</v>
      </c>
    </row>
    <row r="28" spans="1:23" x14ac:dyDescent="0.25">
      <c r="A28" s="102"/>
      <c r="B28" s="102"/>
      <c r="C28" s="102"/>
      <c r="D28" s="102"/>
      <c r="E28" s="102" t="s">
        <v>290</v>
      </c>
      <c r="F28" s="102"/>
      <c r="G28" s="103">
        <v>44904</v>
      </c>
      <c r="H28" s="102"/>
      <c r="I28" s="102"/>
      <c r="J28" s="102"/>
      <c r="K28" s="102" t="s">
        <v>123</v>
      </c>
      <c r="L28" s="102"/>
      <c r="M28" s="102"/>
      <c r="N28" s="102"/>
      <c r="O28" s="102"/>
      <c r="P28" s="102"/>
      <c r="Q28" s="116" t="s">
        <v>289</v>
      </c>
      <c r="R28" s="102"/>
      <c r="S28" s="102" t="s">
        <v>241</v>
      </c>
      <c r="T28" s="102"/>
      <c r="U28" s="2">
        <v>50000</v>
      </c>
      <c r="V28" s="102"/>
      <c r="W28" s="2">
        <f>ROUND(W27+U28,5)</f>
        <v>50000</v>
      </c>
    </row>
    <row r="29" spans="1:23" ht="15.75" thickBot="1" x14ac:dyDescent="0.3">
      <c r="A29" s="102"/>
      <c r="B29" s="102"/>
      <c r="C29" s="102"/>
      <c r="D29" s="102"/>
      <c r="E29" s="102" t="s">
        <v>252</v>
      </c>
      <c r="F29" s="102"/>
      <c r="G29" s="103">
        <v>44904</v>
      </c>
      <c r="H29" s="102"/>
      <c r="I29" s="102"/>
      <c r="J29" s="102"/>
      <c r="K29" s="102" t="s">
        <v>123</v>
      </c>
      <c r="L29" s="102"/>
      <c r="M29" s="102" t="s">
        <v>252</v>
      </c>
      <c r="N29" s="102"/>
      <c r="O29" s="102"/>
      <c r="P29" s="102"/>
      <c r="Q29" s="116" t="s">
        <v>289</v>
      </c>
      <c r="R29" s="102"/>
      <c r="S29" s="102" t="s">
        <v>7</v>
      </c>
      <c r="T29" s="102"/>
      <c r="U29" s="2">
        <v>-50000</v>
      </c>
      <c r="V29" s="102"/>
      <c r="W29" s="2">
        <f>ROUND(W28+U29,5)</f>
        <v>0</v>
      </c>
    </row>
    <row r="30" spans="1:23" ht="15.75" thickBot="1" x14ac:dyDescent="0.3">
      <c r="A30" s="102"/>
      <c r="B30" s="102" t="s">
        <v>288</v>
      </c>
      <c r="C30" s="102"/>
      <c r="D30" s="102"/>
      <c r="E30" s="102"/>
      <c r="F30" s="102"/>
      <c r="G30" s="103"/>
      <c r="H30" s="102"/>
      <c r="I30" s="102"/>
      <c r="J30" s="102"/>
      <c r="K30" s="102"/>
      <c r="L30" s="102"/>
      <c r="M30" s="102"/>
      <c r="N30" s="102"/>
      <c r="O30" s="102"/>
      <c r="P30" s="102"/>
      <c r="Q30" s="115"/>
      <c r="R30" s="102"/>
      <c r="S30" s="102"/>
      <c r="T30" s="102"/>
      <c r="U30" s="112">
        <f>ROUND(SUM(U27:U29),5)</f>
        <v>0</v>
      </c>
      <c r="V30" s="102"/>
      <c r="W30" s="112">
        <f>W29</f>
        <v>0</v>
      </c>
    </row>
    <row r="31" spans="1:23" s="3" customFormat="1" ht="12" thickBot="1" x14ac:dyDescent="0.25">
      <c r="A31" s="1" t="s">
        <v>129</v>
      </c>
      <c r="B31" s="1"/>
      <c r="C31" s="1"/>
      <c r="D31" s="1"/>
      <c r="E31" s="1"/>
      <c r="F31" s="1"/>
      <c r="G31" s="110"/>
      <c r="H31" s="1"/>
      <c r="I31" s="1"/>
      <c r="J31" s="1"/>
      <c r="K31" s="1"/>
      <c r="L31" s="1"/>
      <c r="M31" s="1"/>
      <c r="N31" s="1"/>
      <c r="O31" s="1"/>
      <c r="P31" s="1"/>
      <c r="Q31" s="114"/>
      <c r="R31" s="1"/>
      <c r="S31" s="1"/>
      <c r="T31" s="1"/>
      <c r="U31" s="113">
        <f>ROUND(U7+U26+U30,5)</f>
        <v>72222</v>
      </c>
      <c r="V31" s="1"/>
      <c r="W31" s="113">
        <f>ROUND(W7+W26+W30,5)</f>
        <v>72222</v>
      </c>
    </row>
    <row r="32" spans="1:23" ht="15.75" thickTop="1" x14ac:dyDescent="0.25"/>
  </sheetData>
  <pageMargins left="0.7" right="0.7" top="0.75" bottom="0.75" header="0.1" footer="0.3"/>
  <pageSetup orientation="portrait" r:id="rId1"/>
  <headerFooter>
    <oddHeader>&amp;L&amp;"Arial,Bold"&amp;8 10:54 PM
&amp;"Arial,Bold"&amp;8 04/14/23
&amp;"Arial,Bold"&amp;8 Accrual Basis&amp;C&amp;"Arial,Bold"&amp;12 Brightview Preparatory Academy Corp
&amp;"Arial,Bold"&amp;14 Transactions by Account
&amp;"Arial,Bold"&amp;10 As of March 31,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070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200705" r:id="rId4" name="FILTER"/>
      </mc:Fallback>
    </mc:AlternateContent>
    <mc:AlternateContent xmlns:mc="http://schemas.openxmlformats.org/markup-compatibility/2006">
      <mc:Choice Requires="x14">
        <control shapeId="20070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20070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Balance Sheet</vt:lpstr>
      <vt:lpstr>Stmt of Rev, Exp, and Fund Bal</vt:lpstr>
      <vt:lpstr>Balance Sheet Mar 2023</vt:lpstr>
      <vt:lpstr>P&amp;L Mar 2023</vt:lpstr>
      <vt:lpstr>Payable Aging</vt:lpstr>
      <vt:lpstr>Accrued Liabilities</vt:lpstr>
      <vt:lpstr>Receivable Aging</vt:lpstr>
      <vt:lpstr>Receivable Detail</vt:lpstr>
      <vt:lpstr>'Balance Sheet'!Print_Area</vt:lpstr>
      <vt:lpstr>'Balance Sheet Mar 2023'!Print_Area</vt:lpstr>
      <vt:lpstr>'P&amp;L Mar 2023'!Print_Area</vt:lpstr>
      <vt:lpstr>'Stmt of Rev, Exp, and Fund Bal'!Print_Area</vt:lpstr>
      <vt:lpstr>'Accrued Liabilities'!Print_Titles</vt:lpstr>
      <vt:lpstr>'P&amp;L Mar 2023'!Print_Titles</vt:lpstr>
      <vt:lpstr>'Payable Aging'!Print_Titles</vt:lpstr>
      <vt:lpstr>'Receivable Aging'!Print_Titles</vt:lpstr>
      <vt:lpstr>'Receivable Detail'!Print_Titles</vt:lpstr>
      <vt:lpstr>'Stmt of Rev, Exp, and Fund Bal'!Print_Titles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cp:lastPrinted>2023-04-14T17:21:11Z</cp:lastPrinted>
  <dcterms:created xsi:type="dcterms:W3CDTF">2022-11-25T16:01:43Z</dcterms:created>
  <dcterms:modified xsi:type="dcterms:W3CDTF">2023-04-27T13:45:16Z</dcterms:modified>
</cp:coreProperties>
</file>